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20" windowWidth="20540" windowHeight="13260" activeTab="4"/>
  </bookViews>
  <sheets>
    <sheet name="Deeping St James" sheetId="1" r:id="rId1"/>
    <sheet name="Gibbons" sheetId="2" r:id="rId2"/>
    <sheet name="Pode Hole" sheetId="3" r:id="rId3"/>
    <sheet name="Stanwick" sheetId="4" r:id="rId4"/>
    <sheet name="Tanholt Farm (&amp; Maxey)" sheetId="5" r:id="rId5"/>
    <sheet name="Probabilities of seeing contam" sheetId="6" r:id="rId6"/>
  </sheets>
  <definedNames/>
  <calcPr calcMode="manual" fullCalcOnLoad="1"/>
</workbook>
</file>

<file path=xl/sharedStrings.xml><?xml version="1.0" encoding="utf-8"?>
<sst xmlns="http://schemas.openxmlformats.org/spreadsheetml/2006/main" count="546" uniqueCount="188">
  <si>
    <t>Midpoint of sequence</t>
  </si>
  <si>
    <t>Base/midpoint diff?</t>
  </si>
  <si>
    <t>D-B</t>
  </si>
  <si>
    <t>D-C</t>
  </si>
  <si>
    <t>50-19</t>
  </si>
  <si>
    <t>50-21B</t>
  </si>
  <si>
    <t>50-21C</t>
  </si>
  <si>
    <t>50-21D</t>
  </si>
  <si>
    <t>19-21B</t>
  </si>
  <si>
    <t>19-21C</t>
  </si>
  <si>
    <t>19-21D</t>
  </si>
  <si>
    <t>75-32</t>
  </si>
  <si>
    <t>75-19</t>
  </si>
  <si>
    <t>75-21B</t>
  </si>
  <si>
    <t>75-21C</t>
  </si>
  <si>
    <t>75-21D</t>
  </si>
  <si>
    <t>75-50</t>
  </si>
  <si>
    <t>32-19</t>
  </si>
  <si>
    <t>32-21B</t>
  </si>
  <si>
    <t>32-21D</t>
  </si>
  <si>
    <t>32-50</t>
  </si>
  <si>
    <t>(exponential fit)</t>
  </si>
  <si>
    <t>32-21C</t>
  </si>
  <si>
    <t>Wt of contam copy</t>
  </si>
  <si>
    <t>C-B</t>
  </si>
  <si>
    <t>ST20</t>
  </si>
  <si>
    <t>ST37</t>
  </si>
  <si>
    <t>ST64</t>
  </si>
  <si>
    <t>Low, Medium, High</t>
  </si>
  <si>
    <t>H</t>
  </si>
  <si>
    <t>L</t>
  </si>
  <si>
    <t>M</t>
  </si>
  <si>
    <t>Probabilities as end points for log chart below</t>
  </si>
  <si>
    <t>Having looked at my samples which I didn't send off, and at several that weighed &lt;1mg, I am convinced that it would not be possible for 0.05mg of modern carbon (e.g. skin)</t>
  </si>
  <si>
    <t>Exp calcs (based on top two values as givens - decimal)</t>
  </si>
  <si>
    <t>to be present without me seeing it. Conversely, I think it almost certain that 0.000000001mg of carbon would be undetectable. The question is, what about amounts in between?</t>
  </si>
  <si>
    <t>Weight of contamination (mg)</t>
  </si>
  <si>
    <t>Range</t>
  </si>
  <si>
    <t>Range/10</t>
  </si>
  <si>
    <t>ST72</t>
  </si>
  <si>
    <t>ST87</t>
  </si>
  <si>
    <t>ST99B</t>
  </si>
  <si>
    <t>ST99C</t>
  </si>
  <si>
    <t>ST99D</t>
  </si>
  <si>
    <t>Unit B</t>
  </si>
  <si>
    <t>Unit B/C diff?</t>
  </si>
  <si>
    <t>87 and 99C only</t>
  </si>
  <si>
    <t>99 only</t>
  </si>
  <si>
    <t>64 only</t>
  </si>
  <si>
    <t>20 and 99 only</t>
  </si>
  <si>
    <t>20,87,99</t>
  </si>
  <si>
    <t>B-C</t>
  </si>
  <si>
    <t>99D-20</t>
  </si>
  <si>
    <t>99D-64</t>
  </si>
  <si>
    <t>99D-87</t>
  </si>
  <si>
    <t>99D-72</t>
  </si>
  <si>
    <t>99B-20</t>
  </si>
  <si>
    <t>99B-64</t>
  </si>
  <si>
    <t>99B-87</t>
  </si>
  <si>
    <t>99B-72</t>
  </si>
  <si>
    <t>20-64</t>
  </si>
  <si>
    <t>20-87</t>
  </si>
  <si>
    <t>20-72</t>
  </si>
  <si>
    <t>64-72</t>
  </si>
  <si>
    <t>64-87</t>
  </si>
  <si>
    <t>20-37</t>
  </si>
  <si>
    <t>64-37</t>
  </si>
  <si>
    <t>72-37</t>
  </si>
  <si>
    <t>99B-37</t>
  </si>
  <si>
    <t>99C-37</t>
  </si>
  <si>
    <t>99D-37</t>
  </si>
  <si>
    <t>37-87</t>
  </si>
  <si>
    <t>TF30</t>
  </si>
  <si>
    <t>TF58</t>
  </si>
  <si>
    <t>MA13</t>
  </si>
  <si>
    <t>&gt;54260</t>
  </si>
  <si>
    <t>None - are they diff?</t>
  </si>
  <si>
    <t>30-58</t>
  </si>
  <si>
    <t>Age</t>
  </si>
  <si>
    <t>1s.d.</t>
  </si>
  <si>
    <t>Range at 1 s.d.</t>
  </si>
  <si>
    <t>Range at 2 s.d.</t>
  </si>
  <si>
    <t>Sample</t>
  </si>
  <si>
    <t>DSJ16</t>
  </si>
  <si>
    <t>Checking whether your dates might be statistically indistinguishable from infinite dates:</t>
  </si>
  <si>
    <t>DSJ45</t>
  </si>
  <si>
    <t>DSJ46</t>
  </si>
  <si>
    <t>DSJ22</t>
  </si>
  <si>
    <t>DSJ52</t>
  </si>
  <si>
    <t>DSJ53</t>
  </si>
  <si>
    <t>DSJ34 (Armeria)</t>
  </si>
  <si>
    <t>DSJ34 (Polygonum)</t>
  </si>
  <si>
    <t>DSJ34 (Linum)</t>
  </si>
  <si>
    <t xml:space="preserve"> (by increasing the s.d. to 2 and 3 s.d. and comparing with 45k)</t>
  </si>
  <si>
    <t>N</t>
  </si>
  <si>
    <t>Y</t>
  </si>
  <si>
    <t>Checking how much modern contamination by weight would cause an infinitely old sample to give the age shown:</t>
  </si>
  <si>
    <t>(dependent on the weight of carbon in the sample)</t>
  </si>
  <si>
    <t>% modern (as decimal)</t>
  </si>
  <si>
    <t>Weight of carbon (mg)</t>
  </si>
  <si>
    <t>Weight of modern material needed (mg)</t>
  </si>
  <si>
    <t>Checking how similar dates from the same sample or stratigraphic horizon are:</t>
  </si>
  <si>
    <t>Is this near to 45k?</t>
  </si>
  <si>
    <t>2) is the difference between the ages greater than the combined s.d.?</t>
  </si>
  <si>
    <t>Reason for similarity</t>
  </si>
  <si>
    <t>Samples</t>
  </si>
  <si>
    <t>1 s.d.</t>
  </si>
  <si>
    <t>1) do they overlap at 2 s.d.?</t>
  </si>
  <si>
    <t>Arithmetic difference</t>
  </si>
  <si>
    <t>Combined s.d.</t>
  </si>
  <si>
    <t>Same sample</t>
  </si>
  <si>
    <t>Do they overlap?</t>
  </si>
  <si>
    <t>Y (Polyg only)</t>
  </si>
  <si>
    <t>Y (both)</t>
  </si>
  <si>
    <t>Comparisons</t>
  </si>
  <si>
    <t>P-A</t>
  </si>
  <si>
    <t>L-P</t>
  </si>
  <si>
    <t>L-A</t>
  </si>
  <si>
    <t>Are ages significantly different?</t>
  </si>
  <si>
    <t>2 tests (Polach and Golson, 1966)</t>
  </si>
  <si>
    <t>Probability of laboratory contamination not being detected</t>
  </si>
  <si>
    <t>(N.B. it is almost certain that skin is less dense than seeds and therefore larger by weight and even easier to spot)</t>
  </si>
  <si>
    <t>Arithmetic diff</t>
  </si>
  <si>
    <t>When deciding on whether ages are significantly different, compare the arithmetic difference to the combined s.d.</t>
  </si>
  <si>
    <t>If diff &lt; s.d. samples are the same. If diff between 1-2 times &gt; s.d. samples may well be the same.</t>
  </si>
  <si>
    <t>If diff 2 times &gt; s.d. samples are probably (P) different. If diff more than 3 times &gt; s.d. samples are highly probably (HP) different</t>
  </si>
  <si>
    <t>HP</t>
  </si>
  <si>
    <t>P</t>
  </si>
  <si>
    <t>Unit 1</t>
  </si>
  <si>
    <t>Unit 2</t>
  </si>
  <si>
    <t>45-46</t>
  </si>
  <si>
    <t>52-46</t>
  </si>
  <si>
    <t>45-52</t>
  </si>
  <si>
    <t>16-22</t>
  </si>
  <si>
    <t>53-22</t>
  </si>
  <si>
    <t>53-16</t>
  </si>
  <si>
    <t>Y (16 only)</t>
  </si>
  <si>
    <t>?</t>
  </si>
  <si>
    <t>Units 1/2 diff?</t>
  </si>
  <si>
    <t>22-45</t>
  </si>
  <si>
    <t>22-46</t>
  </si>
  <si>
    <t>22-52</t>
  </si>
  <si>
    <t>16-45</t>
  </si>
  <si>
    <t>16-46</t>
  </si>
  <si>
    <t>16-52</t>
  </si>
  <si>
    <t>53-45</t>
  </si>
  <si>
    <t>53-46</t>
  </si>
  <si>
    <t>53-52</t>
  </si>
  <si>
    <t>GI41</t>
  </si>
  <si>
    <t>GI63</t>
  </si>
  <si>
    <t>GI83</t>
  </si>
  <si>
    <t>GI25 A</t>
  </si>
  <si>
    <t>GI25 B</t>
  </si>
  <si>
    <t>GI25 D</t>
  </si>
  <si>
    <t>GI13</t>
  </si>
  <si>
    <t>Unit A</t>
  </si>
  <si>
    <t xml:space="preserve">Y </t>
  </si>
  <si>
    <t>Y (not GI25 D)</t>
  </si>
  <si>
    <t>Unit A/wedge diff?</t>
  </si>
  <si>
    <t>Y (not GI13)</t>
  </si>
  <si>
    <t>B-A</t>
  </si>
  <si>
    <t>B-D</t>
  </si>
  <si>
    <t>A-D</t>
  </si>
  <si>
    <t>13-25A</t>
  </si>
  <si>
    <t>13-25B</t>
  </si>
  <si>
    <t>13-25D</t>
  </si>
  <si>
    <t>13-63</t>
  </si>
  <si>
    <t>25B-63</t>
  </si>
  <si>
    <t>41-13</t>
  </si>
  <si>
    <t>41-25A</t>
  </si>
  <si>
    <t>41-25B</t>
  </si>
  <si>
    <t>41-25D</t>
  </si>
  <si>
    <t>41-63</t>
  </si>
  <si>
    <t>Unit A/B diff?</t>
  </si>
  <si>
    <t>13-83</t>
  </si>
  <si>
    <t>25A-83</t>
  </si>
  <si>
    <t>25B-83</t>
  </si>
  <si>
    <t>25D-83</t>
  </si>
  <si>
    <t>63-83</t>
  </si>
  <si>
    <t>Low Probability &lt;5%, Medium &gt;5%&lt;10%, High &gt;10%</t>
  </si>
  <si>
    <t>PH19</t>
  </si>
  <si>
    <t>PH32</t>
  </si>
  <si>
    <t>PH50</t>
  </si>
  <si>
    <t>PH75</t>
  </si>
  <si>
    <t>PH21C</t>
  </si>
  <si>
    <t>PH21B</t>
  </si>
  <si>
    <t>PH21D</t>
  </si>
  <si>
    <t>Base of sequence</t>
  </si>
</sst>
</file>

<file path=xl/styles.xml><?xml version="1.0" encoding="utf-8"?>
<styleSheet xmlns="http://schemas.openxmlformats.org/spreadsheetml/2006/main">
  <numFmts count="25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000"/>
    <numFmt numFmtId="165" formatCode="0.000"/>
    <numFmt numFmtId="166" formatCode="0.0E+00"/>
    <numFmt numFmtId="167" formatCode="0.000E+00"/>
    <numFmt numFmtId="168" formatCode="0.0000E+00"/>
    <numFmt numFmtId="169" formatCode="0.00000E+00"/>
    <numFmt numFmtId="170" formatCode="0.000000E+00"/>
    <numFmt numFmtId="171" formatCode="0.0000000E+00"/>
    <numFmt numFmtId="172" formatCode="0.00000000E+00"/>
    <numFmt numFmtId="173" formatCode="0.000000000E+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vertAlign val="superscript"/>
      <sz val="9"/>
      <name val="Geneva"/>
      <family val="0"/>
    </font>
    <font>
      <b/>
      <sz val="12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Probability of contamination not being detected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125"/>
          <c:w val="0.90625"/>
          <c:h val="0.7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'Probabilities of seeing contam'!$D$9:$D$19</c:f>
              <c:numCache/>
            </c:numRef>
          </c:xVal>
          <c:yVal>
            <c:numRef>
              <c:f>'Probabilities of seeing contam'!$E$9:$E$19</c:f>
              <c:numCache/>
            </c:numRef>
          </c:yVal>
          <c:smooth val="0"/>
        </c:ser>
        <c:axId val="29958577"/>
        <c:axId val="1191738"/>
      </c:scatterChart>
      <c:valAx>
        <c:axId val="29958577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Weight of contamination required to shift age from infinite (mg)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1738"/>
        <c:crosses val="autoZero"/>
        <c:crossBetween val="midCat"/>
        <c:dispUnits/>
      </c:valAx>
      <c:valAx>
        <c:axId val="119173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Probability of contamination not being detected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Probability of contamination not being detected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exp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'Probabilities of seeing contam'!$B$9:$B$19</c:f>
              <c:numCache/>
            </c:numRef>
          </c:xVal>
          <c:yVal>
            <c:numRef>
              <c:f>'Probabilities of seeing contam'!$C$9:$C$19</c:f>
              <c:numCache/>
            </c:numRef>
          </c:yVal>
          <c:smooth val="0"/>
        </c:ser>
        <c:axId val="10725643"/>
        <c:axId val="29421924"/>
      </c:scatterChart>
      <c:valAx>
        <c:axId val="10725643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Weight of contamination required to shift age from infinite (mg)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crossBetween val="midCat"/>
        <c:dispUnits/>
      </c:valAx>
      <c:valAx>
        <c:axId val="294219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Probability of contamination not being detected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25</xdr:row>
      <xdr:rowOff>85725</xdr:rowOff>
    </xdr:from>
    <xdr:to>
      <xdr:col>9</xdr:col>
      <xdr:colOff>352425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7448550" y="4057650"/>
        <a:ext cx="6229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26</xdr:row>
      <xdr:rowOff>114300</xdr:rowOff>
    </xdr:from>
    <xdr:to>
      <xdr:col>3</xdr:col>
      <xdr:colOff>771525</xdr:colOff>
      <xdr:row>50</xdr:row>
      <xdr:rowOff>19050</xdr:rowOff>
    </xdr:to>
    <xdr:graphicFrame>
      <xdr:nvGraphicFramePr>
        <xdr:cNvPr id="2" name="Chart 16"/>
        <xdr:cNvGraphicFramePr/>
      </xdr:nvGraphicFramePr>
      <xdr:xfrm>
        <a:off x="466725" y="4238625"/>
        <a:ext cx="6191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0"/>
  <sheetViews>
    <sheetView workbookViewId="0" topLeftCell="K1">
      <selection activeCell="Q1" sqref="Q1"/>
    </sheetView>
  </sheetViews>
  <sheetFormatPr defaultColWidth="11.00390625" defaultRowHeight="12"/>
  <cols>
    <col min="2" max="2" width="15.875" style="0" customWidth="1"/>
    <col min="5" max="6" width="12.125" style="0" customWidth="1"/>
    <col min="7" max="8" width="12.375" style="0" customWidth="1"/>
    <col min="9" max="9" width="16.00390625" style="0" bestFit="1" customWidth="1"/>
    <col min="10" max="11" width="16.00390625" style="0" customWidth="1"/>
    <col min="12" max="12" width="12.375" style="0" customWidth="1"/>
    <col min="13" max="13" width="22.375" style="0" bestFit="1" customWidth="1"/>
    <col min="14" max="14" width="22.375" style="0" customWidth="1"/>
    <col min="15" max="15" width="15.625" style="0" customWidth="1"/>
    <col min="16" max="16" width="18.375" style="0" bestFit="1" customWidth="1"/>
    <col min="17" max="17" width="44.875" style="0" bestFit="1" customWidth="1"/>
    <col min="18" max="18" width="30.50390625" style="0" bestFit="1" customWidth="1"/>
    <col min="19" max="19" width="44.875" style="0" bestFit="1" customWidth="1"/>
    <col min="20" max="20" width="15.375" style="0" bestFit="1" customWidth="1"/>
    <col min="22" max="22" width="26.625" style="0" customWidth="1"/>
    <col min="23" max="23" width="17.125" style="0" customWidth="1"/>
    <col min="28" max="28" width="14.00390625" style="0" bestFit="1" customWidth="1"/>
    <col min="29" max="29" width="10.625" style="0" bestFit="1" customWidth="1"/>
    <col min="30" max="30" width="53.50390625" style="0" customWidth="1"/>
    <col min="32" max="32" width="42.875" style="0" customWidth="1"/>
  </cols>
  <sheetData>
    <row r="1" ht="13.5" thickBot="1"/>
    <row r="2" spans="2:30" ht="12.75">
      <c r="B2" s="1" t="s">
        <v>84</v>
      </c>
      <c r="C2" s="2"/>
      <c r="D2" s="2"/>
      <c r="E2" s="2"/>
      <c r="F2" s="2"/>
      <c r="G2" s="2"/>
      <c r="H2" s="2"/>
      <c r="I2" s="3"/>
      <c r="J2" s="5"/>
      <c r="K2" s="5"/>
      <c r="L2" s="5"/>
      <c r="M2" s="14" t="s">
        <v>96</v>
      </c>
      <c r="N2" s="2"/>
      <c r="O2" s="2"/>
      <c r="P2" s="2"/>
      <c r="Q2" s="2"/>
      <c r="R2" s="3"/>
      <c r="S2" s="5"/>
      <c r="T2" s="14" t="s">
        <v>101</v>
      </c>
      <c r="U2" s="2"/>
      <c r="V2" s="2"/>
      <c r="W2" s="2"/>
      <c r="X2" s="2"/>
      <c r="Y2" s="2"/>
      <c r="Z2" s="2" t="s">
        <v>123</v>
      </c>
      <c r="AA2" s="2"/>
      <c r="AB2" s="2"/>
      <c r="AC2" s="2"/>
      <c r="AD2" s="3"/>
    </row>
    <row r="3" spans="2:30" ht="12.75">
      <c r="B3" s="4" t="s">
        <v>93</v>
      </c>
      <c r="C3" s="5"/>
      <c r="D3" s="5"/>
      <c r="E3" s="5"/>
      <c r="F3" s="5"/>
      <c r="G3" s="5"/>
      <c r="H3" s="5"/>
      <c r="I3" s="6"/>
      <c r="J3" s="5"/>
      <c r="K3" s="5"/>
      <c r="L3" s="5"/>
      <c r="M3" s="4" t="s">
        <v>97</v>
      </c>
      <c r="N3" s="5"/>
      <c r="O3" s="5"/>
      <c r="P3" s="5"/>
      <c r="Q3" s="5"/>
      <c r="R3" s="6"/>
      <c r="S3" s="5"/>
      <c r="T3" s="4" t="s">
        <v>119</v>
      </c>
      <c r="U3" s="5" t="s">
        <v>107</v>
      </c>
      <c r="V3" s="5"/>
      <c r="W3" s="5"/>
      <c r="X3" s="5"/>
      <c r="Y3" s="5"/>
      <c r="Z3" s="5" t="s">
        <v>124</v>
      </c>
      <c r="AA3" s="5"/>
      <c r="AB3" s="5"/>
      <c r="AC3" s="5"/>
      <c r="AD3" s="6"/>
    </row>
    <row r="4" spans="2:30" ht="12.75"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4" t="s">
        <v>179</v>
      </c>
      <c r="N4" s="5"/>
      <c r="O4" s="5"/>
      <c r="P4" s="5"/>
      <c r="Q4" s="5"/>
      <c r="R4" s="6"/>
      <c r="S4" s="5"/>
      <c r="T4" s="4"/>
      <c r="U4" s="5" t="s">
        <v>103</v>
      </c>
      <c r="V4" s="5"/>
      <c r="W4" s="5"/>
      <c r="X4" s="5"/>
      <c r="Y4" s="5"/>
      <c r="Z4" s="5" t="s">
        <v>125</v>
      </c>
      <c r="AA4" s="5"/>
      <c r="AB4" s="5"/>
      <c r="AC4" s="5"/>
      <c r="AD4" s="6"/>
    </row>
    <row r="5" spans="2:30" ht="12.75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4"/>
      <c r="N5" s="5"/>
      <c r="O5" s="5"/>
      <c r="P5" s="5"/>
      <c r="Q5" s="5"/>
      <c r="R5" s="6"/>
      <c r="S5" s="5"/>
      <c r="T5" s="4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12.75">
      <c r="B6" s="4" t="s">
        <v>82</v>
      </c>
      <c r="C6" s="5" t="s">
        <v>78</v>
      </c>
      <c r="D6" s="5" t="s">
        <v>79</v>
      </c>
      <c r="E6" s="5" t="s">
        <v>80</v>
      </c>
      <c r="F6" s="5"/>
      <c r="G6" s="5" t="s">
        <v>81</v>
      </c>
      <c r="H6" s="5"/>
      <c r="I6" s="6" t="s">
        <v>102</v>
      </c>
      <c r="J6" s="5"/>
      <c r="K6" s="5"/>
      <c r="L6" s="5"/>
      <c r="M6" s="4" t="s">
        <v>82</v>
      </c>
      <c r="N6" s="5" t="s">
        <v>98</v>
      </c>
      <c r="O6" s="5" t="s">
        <v>99</v>
      </c>
      <c r="P6" s="5" t="s">
        <v>100</v>
      </c>
      <c r="Q6" s="5" t="s">
        <v>120</v>
      </c>
      <c r="R6" s="6" t="s">
        <v>28</v>
      </c>
      <c r="T6" s="4" t="s">
        <v>104</v>
      </c>
      <c r="U6" s="5" t="s">
        <v>105</v>
      </c>
      <c r="V6" s="5" t="s">
        <v>78</v>
      </c>
      <c r="W6" s="5" t="s">
        <v>106</v>
      </c>
      <c r="X6" s="5" t="s">
        <v>81</v>
      </c>
      <c r="Y6" s="5"/>
      <c r="Z6" s="5" t="s">
        <v>111</v>
      </c>
      <c r="AA6" s="5" t="s">
        <v>114</v>
      </c>
      <c r="AB6" s="5" t="s">
        <v>122</v>
      </c>
      <c r="AC6" s="5" t="s">
        <v>109</v>
      </c>
      <c r="AD6" s="6" t="s">
        <v>118</v>
      </c>
    </row>
    <row r="7" spans="2:30" ht="12.75">
      <c r="B7" s="4"/>
      <c r="C7" s="5"/>
      <c r="D7" s="5"/>
      <c r="E7" s="5"/>
      <c r="F7" s="5"/>
      <c r="G7" s="5"/>
      <c r="H7" s="5"/>
      <c r="I7" s="6"/>
      <c r="J7" s="5"/>
      <c r="K7" s="5"/>
      <c r="L7" s="5"/>
      <c r="M7" s="4"/>
      <c r="N7" s="5"/>
      <c r="O7" s="5"/>
      <c r="P7" s="5"/>
      <c r="Q7" s="5" t="s">
        <v>21</v>
      </c>
      <c r="R7" s="6"/>
      <c r="T7" s="4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1" ht="12.75">
      <c r="B8" s="10" t="s">
        <v>83</v>
      </c>
      <c r="C8" s="11">
        <v>40590</v>
      </c>
      <c r="D8" s="11">
        <v>1370</v>
      </c>
      <c r="E8" s="5">
        <f>$C8-$D8</f>
        <v>39220</v>
      </c>
      <c r="F8" s="5">
        <f>C8+D8</f>
        <v>41960</v>
      </c>
      <c r="G8" s="5">
        <f>$C8-($D8*2)</f>
        <v>37850</v>
      </c>
      <c r="H8" s="5">
        <f>$C8+($D8*2)</f>
        <v>43330</v>
      </c>
      <c r="I8" s="24" t="s">
        <v>95</v>
      </c>
      <c r="J8" s="11"/>
      <c r="K8" s="11"/>
      <c r="L8" s="5"/>
      <c r="M8" s="4" t="str">
        <f>$B8</f>
        <v>DSJ16</v>
      </c>
      <c r="N8" s="11">
        <v>0.0064</v>
      </c>
      <c r="O8" s="11">
        <v>1.4</v>
      </c>
      <c r="P8" s="15">
        <f>$N8*$O8</f>
        <v>0.00896</v>
      </c>
      <c r="Q8" s="17">
        <f>(EXP(-225.69*($P8)))*100</f>
        <v>13.236627347379354</v>
      </c>
      <c r="R8" s="24" t="s">
        <v>29</v>
      </c>
      <c r="S8" s="18"/>
      <c r="T8" s="10" t="s">
        <v>110</v>
      </c>
      <c r="U8" s="11" t="s">
        <v>90</v>
      </c>
      <c r="V8" s="11">
        <v>35700</v>
      </c>
      <c r="W8" s="11">
        <v>800</v>
      </c>
      <c r="X8" s="5">
        <f>$V8-($W8*2)</f>
        <v>34100</v>
      </c>
      <c r="Y8" s="5">
        <f>$V8+($W8*2)</f>
        <v>37300</v>
      </c>
      <c r="Z8" s="11" t="s">
        <v>112</v>
      </c>
      <c r="AA8" s="11" t="s">
        <v>115</v>
      </c>
      <c r="AB8" s="5">
        <f>V9-V8</f>
        <v>1540</v>
      </c>
      <c r="AC8" s="17">
        <f>SQRT(SUMSQ(W9,W8))</f>
        <v>1196.7038062946071</v>
      </c>
      <c r="AD8" s="24" t="s">
        <v>94</v>
      </c>
      <c r="AE8" s="18"/>
    </row>
    <row r="9" spans="2:31" ht="12.75">
      <c r="B9" s="10" t="s">
        <v>87</v>
      </c>
      <c r="C9" s="11">
        <v>37470</v>
      </c>
      <c r="D9" s="11">
        <v>940</v>
      </c>
      <c r="E9" s="5">
        <f aca="true" t="shared" si="0" ref="E9:E16">$C9-$D9</f>
        <v>36530</v>
      </c>
      <c r="F9" s="5">
        <f aca="true" t="shared" si="1" ref="F9:F16">C9+D9</f>
        <v>38410</v>
      </c>
      <c r="G9" s="5">
        <f aca="true" t="shared" si="2" ref="G9:G16">$C9-($D9*2)</f>
        <v>35590</v>
      </c>
      <c r="H9" s="5">
        <f aca="true" t="shared" si="3" ref="H9:H16">$C9+($D9*2)</f>
        <v>39350</v>
      </c>
      <c r="I9" s="24" t="s">
        <v>94</v>
      </c>
      <c r="J9" s="11"/>
      <c r="K9" s="11"/>
      <c r="L9" s="5"/>
      <c r="M9" s="4" t="str">
        <f aca="true" t="shared" si="4" ref="M9:M16">$B9</f>
        <v>DSJ22</v>
      </c>
      <c r="N9" s="11">
        <v>0.0094</v>
      </c>
      <c r="O9" s="11">
        <v>3.8</v>
      </c>
      <c r="P9" s="15">
        <f aca="true" t="shared" si="5" ref="P9:P16">$N9*$O9</f>
        <v>0.03572</v>
      </c>
      <c r="Q9" s="17">
        <f aca="true" t="shared" si="6" ref="Q9:Q16">(EXP(-225.69*($P9)))*100</f>
        <v>0.03154069651924124</v>
      </c>
      <c r="R9" s="24" t="s">
        <v>30</v>
      </c>
      <c r="S9" s="18"/>
      <c r="T9" s="10"/>
      <c r="U9" s="11" t="s">
        <v>91</v>
      </c>
      <c r="V9" s="11">
        <v>37240</v>
      </c>
      <c r="W9" s="11">
        <v>890</v>
      </c>
      <c r="X9" s="5">
        <f>$V9-($W9*2)</f>
        <v>35460</v>
      </c>
      <c r="Y9" s="5">
        <f>$V9+($W9*2)</f>
        <v>39020</v>
      </c>
      <c r="Z9" s="11" t="s">
        <v>113</v>
      </c>
      <c r="AA9" s="11" t="s">
        <v>116</v>
      </c>
      <c r="AB9" s="5">
        <f>V10-V9</f>
        <v>3060</v>
      </c>
      <c r="AC9" s="17">
        <f>SQRT(SUMSQ(W10,W9))</f>
        <v>1575.468184382027</v>
      </c>
      <c r="AD9" s="24" t="s">
        <v>94</v>
      </c>
      <c r="AE9" s="18"/>
    </row>
    <row r="10" spans="2:31" ht="12.75">
      <c r="B10" s="10" t="s">
        <v>90</v>
      </c>
      <c r="C10" s="11">
        <v>35700</v>
      </c>
      <c r="D10" s="11">
        <v>800</v>
      </c>
      <c r="E10" s="5">
        <f t="shared" si="0"/>
        <v>34900</v>
      </c>
      <c r="F10" s="5">
        <f t="shared" si="1"/>
        <v>36500</v>
      </c>
      <c r="G10" s="5">
        <f t="shared" si="2"/>
        <v>34100</v>
      </c>
      <c r="H10" s="5">
        <f t="shared" si="3"/>
        <v>37300</v>
      </c>
      <c r="I10" s="24" t="s">
        <v>94</v>
      </c>
      <c r="J10" s="11"/>
      <c r="K10" s="11"/>
      <c r="L10" s="5"/>
      <c r="M10" s="4" t="str">
        <f t="shared" si="4"/>
        <v>DSJ34 (Armeria)</v>
      </c>
      <c r="N10" s="11">
        <v>0.0118</v>
      </c>
      <c r="O10" s="11">
        <v>2.5</v>
      </c>
      <c r="P10" s="15">
        <f t="shared" si="5"/>
        <v>0.0295</v>
      </c>
      <c r="Q10" s="17">
        <f t="shared" si="6"/>
        <v>0.1283897378750371</v>
      </c>
      <c r="R10" s="24" t="s">
        <v>30</v>
      </c>
      <c r="S10" s="18"/>
      <c r="T10" s="10"/>
      <c r="U10" s="11" t="s">
        <v>92</v>
      </c>
      <c r="V10" s="11">
        <v>40300</v>
      </c>
      <c r="W10" s="11">
        <v>1300</v>
      </c>
      <c r="X10" s="5">
        <f>$V10-($W10*2)</f>
        <v>37700</v>
      </c>
      <c r="Y10" s="5">
        <f>$V10+($W10*2)</f>
        <v>42900</v>
      </c>
      <c r="Z10" s="11" t="s">
        <v>112</v>
      </c>
      <c r="AA10" s="11" t="s">
        <v>117</v>
      </c>
      <c r="AB10" s="5">
        <f>V10-V8</f>
        <v>4600</v>
      </c>
      <c r="AC10" s="17">
        <f>SQRT(SUMSQ(W8,W10))</f>
        <v>1526.433752247375</v>
      </c>
      <c r="AD10" s="24" t="s">
        <v>127</v>
      </c>
      <c r="AE10" s="18"/>
    </row>
    <row r="11" spans="2:31" ht="12.75">
      <c r="B11" s="10" t="s">
        <v>91</v>
      </c>
      <c r="C11" s="11">
        <v>37240</v>
      </c>
      <c r="D11" s="11">
        <v>890</v>
      </c>
      <c r="E11" s="5">
        <f t="shared" si="0"/>
        <v>36350</v>
      </c>
      <c r="F11" s="5">
        <f t="shared" si="1"/>
        <v>38130</v>
      </c>
      <c r="G11" s="5">
        <f t="shared" si="2"/>
        <v>35460</v>
      </c>
      <c r="H11" s="5">
        <f t="shared" si="3"/>
        <v>39020</v>
      </c>
      <c r="I11" s="24" t="s">
        <v>94</v>
      </c>
      <c r="J11" s="11"/>
      <c r="K11" s="11"/>
      <c r="L11" s="5"/>
      <c r="M11" s="4" t="str">
        <f t="shared" si="4"/>
        <v>DSJ34 (Polygonum)</v>
      </c>
      <c r="N11" s="11">
        <v>0.0097</v>
      </c>
      <c r="O11" s="11">
        <v>2.1</v>
      </c>
      <c r="P11" s="15">
        <f t="shared" si="5"/>
        <v>0.020370000000000003</v>
      </c>
      <c r="Q11" s="17">
        <f t="shared" si="6"/>
        <v>1.0078958954458677</v>
      </c>
      <c r="R11" s="24" t="s">
        <v>30</v>
      </c>
      <c r="S11" s="18"/>
      <c r="T11" s="10"/>
      <c r="U11" s="11"/>
      <c r="V11" s="11"/>
      <c r="W11" s="11"/>
      <c r="X11" s="5"/>
      <c r="Y11" s="5"/>
      <c r="Z11" s="11"/>
      <c r="AA11" s="11"/>
      <c r="AB11" s="5"/>
      <c r="AC11" s="5"/>
      <c r="AD11" s="24"/>
      <c r="AE11" s="18"/>
    </row>
    <row r="12" spans="2:30" ht="12.75">
      <c r="B12" s="10" t="s">
        <v>92</v>
      </c>
      <c r="C12" s="11">
        <v>40300</v>
      </c>
      <c r="D12" s="11">
        <v>1300</v>
      </c>
      <c r="E12" s="5">
        <f t="shared" si="0"/>
        <v>39000</v>
      </c>
      <c r="F12" s="5">
        <f t="shared" si="1"/>
        <v>41600</v>
      </c>
      <c r="G12" s="5">
        <f t="shared" si="2"/>
        <v>37700</v>
      </c>
      <c r="H12" s="5">
        <f t="shared" si="3"/>
        <v>42900</v>
      </c>
      <c r="I12" s="24" t="s">
        <v>95</v>
      </c>
      <c r="J12" s="11"/>
      <c r="K12" s="11"/>
      <c r="L12" s="5"/>
      <c r="M12" s="4" t="str">
        <f t="shared" si="4"/>
        <v>DSJ34 (Linum)</v>
      </c>
      <c r="N12" s="11">
        <v>0.0066</v>
      </c>
      <c r="O12" s="11">
        <v>2.1</v>
      </c>
      <c r="P12" s="15">
        <f t="shared" si="5"/>
        <v>0.01386</v>
      </c>
      <c r="Q12" s="17">
        <f t="shared" si="6"/>
        <v>4.380254317189805</v>
      </c>
      <c r="R12" s="24" t="s">
        <v>30</v>
      </c>
      <c r="S12" s="18"/>
      <c r="T12" s="10" t="s">
        <v>128</v>
      </c>
      <c r="U12" s="11" t="s">
        <v>85</v>
      </c>
      <c r="V12" s="11">
        <v>37400</v>
      </c>
      <c r="W12" s="11">
        <v>930</v>
      </c>
      <c r="X12" s="5">
        <f>$V12-($W12*2)</f>
        <v>35540</v>
      </c>
      <c r="Y12" s="5">
        <f>$V12+($W12*2)</f>
        <v>39260</v>
      </c>
      <c r="Z12" s="11" t="s">
        <v>95</v>
      </c>
      <c r="AA12" s="11" t="s">
        <v>130</v>
      </c>
      <c r="AB12" s="5">
        <f>V12-V13</f>
        <v>310</v>
      </c>
      <c r="AC12" s="17">
        <f>SQRT(SUMSQ(W13,W12))</f>
        <v>1287.245120402482</v>
      </c>
      <c r="AD12" s="24" t="s">
        <v>94</v>
      </c>
    </row>
    <row r="13" spans="2:30" ht="12" customHeight="1">
      <c r="B13" s="10" t="s">
        <v>85</v>
      </c>
      <c r="C13" s="11">
        <v>37400</v>
      </c>
      <c r="D13" s="11">
        <v>930</v>
      </c>
      <c r="E13" s="5">
        <f t="shared" si="0"/>
        <v>36470</v>
      </c>
      <c r="F13" s="5">
        <f t="shared" si="1"/>
        <v>38330</v>
      </c>
      <c r="G13" s="5">
        <f t="shared" si="2"/>
        <v>35540</v>
      </c>
      <c r="H13" s="5">
        <f t="shared" si="3"/>
        <v>39260</v>
      </c>
      <c r="I13" s="24" t="s">
        <v>94</v>
      </c>
      <c r="J13" s="11"/>
      <c r="K13" s="11"/>
      <c r="L13" s="5"/>
      <c r="M13" s="4" t="str">
        <f t="shared" si="4"/>
        <v>DSJ45</v>
      </c>
      <c r="N13" s="11">
        <v>0.0095</v>
      </c>
      <c r="O13" s="11">
        <v>3.5</v>
      </c>
      <c r="P13" s="15">
        <f t="shared" si="5"/>
        <v>0.03325</v>
      </c>
      <c r="Q13" s="17">
        <f t="shared" si="6"/>
        <v>0.05507704179376806</v>
      </c>
      <c r="R13" s="24" t="s">
        <v>30</v>
      </c>
      <c r="S13" s="18"/>
      <c r="T13" s="10"/>
      <c r="U13" s="11" t="s">
        <v>86</v>
      </c>
      <c r="V13" s="11">
        <v>37090</v>
      </c>
      <c r="W13" s="11">
        <v>890</v>
      </c>
      <c r="X13" s="5">
        <f>$V13-($W13*2)</f>
        <v>35310</v>
      </c>
      <c r="Y13" s="5">
        <f>$V13+($W13*2)</f>
        <v>38870</v>
      </c>
      <c r="Z13" s="11" t="s">
        <v>95</v>
      </c>
      <c r="AA13" s="11" t="s">
        <v>131</v>
      </c>
      <c r="AB13" s="5">
        <f>V14-V13</f>
        <v>180</v>
      </c>
      <c r="AC13" s="17">
        <f>SQRT(SUMSQ(W14,W13))</f>
        <v>1272.8707711311467</v>
      </c>
      <c r="AD13" s="24" t="s">
        <v>94</v>
      </c>
    </row>
    <row r="14" spans="2:30" ht="12.75">
      <c r="B14" s="10" t="s">
        <v>86</v>
      </c>
      <c r="C14" s="11">
        <v>37090</v>
      </c>
      <c r="D14" s="11">
        <v>890</v>
      </c>
      <c r="E14" s="5">
        <f t="shared" si="0"/>
        <v>36200</v>
      </c>
      <c r="F14" s="5">
        <f t="shared" si="1"/>
        <v>37980</v>
      </c>
      <c r="G14" s="5">
        <f t="shared" si="2"/>
        <v>35310</v>
      </c>
      <c r="H14" s="5">
        <f t="shared" si="3"/>
        <v>38870</v>
      </c>
      <c r="I14" s="24" t="s">
        <v>94</v>
      </c>
      <c r="J14" s="11"/>
      <c r="K14" s="11"/>
      <c r="L14" s="5"/>
      <c r="M14" s="4" t="str">
        <f t="shared" si="4"/>
        <v>DSJ46</v>
      </c>
      <c r="N14" s="11">
        <v>0.0099</v>
      </c>
      <c r="O14" s="11">
        <v>2.1</v>
      </c>
      <c r="P14" s="15">
        <f t="shared" si="5"/>
        <v>0.020790000000000003</v>
      </c>
      <c r="Q14" s="17">
        <f t="shared" si="6"/>
        <v>0.9167459278227725</v>
      </c>
      <c r="R14" s="24" t="s">
        <v>30</v>
      </c>
      <c r="S14" s="18"/>
      <c r="T14" s="10"/>
      <c r="U14" s="11" t="s">
        <v>88</v>
      </c>
      <c r="V14" s="11">
        <v>37270</v>
      </c>
      <c r="W14" s="11">
        <v>910</v>
      </c>
      <c r="X14" s="5">
        <f>$V14-($W14*2)</f>
        <v>35450</v>
      </c>
      <c r="Y14" s="5">
        <f>$V14+($W14*2)</f>
        <v>39090</v>
      </c>
      <c r="Z14" s="11" t="s">
        <v>95</v>
      </c>
      <c r="AA14" s="11" t="s">
        <v>132</v>
      </c>
      <c r="AB14" s="5">
        <f>V12-V14</f>
        <v>130</v>
      </c>
      <c r="AC14" s="17">
        <f>SQRT(SUMSQ(W12,W14))</f>
        <v>1301.153334545933</v>
      </c>
      <c r="AD14" s="24" t="s">
        <v>94</v>
      </c>
    </row>
    <row r="15" spans="2:30" ht="12.75">
      <c r="B15" s="10" t="s">
        <v>88</v>
      </c>
      <c r="C15" s="11">
        <v>37270</v>
      </c>
      <c r="D15" s="11">
        <v>910</v>
      </c>
      <c r="E15" s="5">
        <f t="shared" si="0"/>
        <v>36360</v>
      </c>
      <c r="F15" s="5">
        <f t="shared" si="1"/>
        <v>38180</v>
      </c>
      <c r="G15" s="5">
        <f t="shared" si="2"/>
        <v>35450</v>
      </c>
      <c r="H15" s="5">
        <f t="shared" si="3"/>
        <v>39090</v>
      </c>
      <c r="I15" s="24" t="s">
        <v>94</v>
      </c>
      <c r="J15" s="11"/>
      <c r="K15" s="11"/>
      <c r="L15" s="5"/>
      <c r="M15" s="4" t="str">
        <f t="shared" si="4"/>
        <v>DSJ52</v>
      </c>
      <c r="N15" s="11">
        <v>0.0097</v>
      </c>
      <c r="O15" s="11">
        <v>2.2</v>
      </c>
      <c r="P15" s="15">
        <f t="shared" si="5"/>
        <v>0.02134</v>
      </c>
      <c r="Q15" s="17">
        <f t="shared" si="6"/>
        <v>0.8097300050243598</v>
      </c>
      <c r="R15" s="24" t="s">
        <v>30</v>
      </c>
      <c r="S15" s="18"/>
      <c r="T15" s="10"/>
      <c r="U15" s="11"/>
      <c r="V15" s="11"/>
      <c r="W15" s="11"/>
      <c r="X15" s="5"/>
      <c r="Y15" s="5"/>
      <c r="Z15" s="11"/>
      <c r="AA15" s="11"/>
      <c r="AB15" s="5"/>
      <c r="AC15" s="17"/>
      <c r="AD15" s="24"/>
    </row>
    <row r="16" spans="2:30" ht="13.5" thickBot="1">
      <c r="B16" s="12" t="s">
        <v>89</v>
      </c>
      <c r="C16" s="13">
        <v>44600</v>
      </c>
      <c r="D16" s="13">
        <v>2260</v>
      </c>
      <c r="E16" s="8">
        <f t="shared" si="0"/>
        <v>42340</v>
      </c>
      <c r="F16" s="8">
        <f t="shared" si="1"/>
        <v>46860</v>
      </c>
      <c r="G16" s="8">
        <f t="shared" si="2"/>
        <v>40080</v>
      </c>
      <c r="H16" s="8">
        <f t="shared" si="3"/>
        <v>49120</v>
      </c>
      <c r="I16" s="25" t="s">
        <v>95</v>
      </c>
      <c r="J16" s="11"/>
      <c r="K16" s="11"/>
      <c r="L16" s="5"/>
      <c r="M16" s="7" t="str">
        <f t="shared" si="4"/>
        <v>DSJ53</v>
      </c>
      <c r="N16" s="13">
        <v>0.0039</v>
      </c>
      <c r="O16" s="13">
        <v>3</v>
      </c>
      <c r="P16" s="16">
        <f t="shared" si="5"/>
        <v>0.011699999999999999</v>
      </c>
      <c r="Q16" s="22">
        <f t="shared" si="6"/>
        <v>7.132039126168016</v>
      </c>
      <c r="R16" s="25" t="s">
        <v>31</v>
      </c>
      <c r="S16" s="18"/>
      <c r="T16" s="10" t="s">
        <v>129</v>
      </c>
      <c r="U16" s="11" t="s">
        <v>83</v>
      </c>
      <c r="V16" s="11">
        <v>40590</v>
      </c>
      <c r="W16" s="11">
        <v>1370</v>
      </c>
      <c r="X16" s="5">
        <f>$V16-($W16*2)</f>
        <v>37850</v>
      </c>
      <c r="Y16" s="5">
        <f>$V16+($W16*2)</f>
        <v>43330</v>
      </c>
      <c r="Z16" s="11" t="s">
        <v>113</v>
      </c>
      <c r="AA16" s="11" t="s">
        <v>133</v>
      </c>
      <c r="AB16" s="5">
        <f>V16-V17</f>
        <v>3120</v>
      </c>
      <c r="AC16" s="17">
        <f>SQRT(SUMSQ(W17,W16))</f>
        <v>1661.4752480852671</v>
      </c>
      <c r="AD16" s="24" t="s">
        <v>94</v>
      </c>
    </row>
    <row r="17" spans="20:30" ht="12.75">
      <c r="T17" s="10"/>
      <c r="U17" s="11" t="s">
        <v>87</v>
      </c>
      <c r="V17" s="11">
        <v>37470</v>
      </c>
      <c r="W17" s="11">
        <v>940</v>
      </c>
      <c r="X17" s="5">
        <f>$V17-($W17*2)</f>
        <v>35590</v>
      </c>
      <c r="Y17" s="5">
        <f>$V17+($W17*2)</f>
        <v>39350</v>
      </c>
      <c r="Z17" s="11" t="s">
        <v>136</v>
      </c>
      <c r="AA17" s="11" t="s">
        <v>134</v>
      </c>
      <c r="AB17" s="5">
        <f>V18-V17</f>
        <v>7130</v>
      </c>
      <c r="AC17" s="17">
        <f>SQRT(SUMSQ(W18,W17))</f>
        <v>2447.692791181116</v>
      </c>
      <c r="AD17" s="24" t="s">
        <v>127</v>
      </c>
    </row>
    <row r="18" spans="20:30" ht="12.75">
      <c r="T18" s="10"/>
      <c r="U18" s="11" t="s">
        <v>89</v>
      </c>
      <c r="V18" s="11">
        <v>44600</v>
      </c>
      <c r="W18" s="11">
        <v>2260</v>
      </c>
      <c r="X18" s="5">
        <f>$V18-($W18*2)</f>
        <v>40080</v>
      </c>
      <c r="Y18" s="5">
        <f>$V18+($W18*2)</f>
        <v>49120</v>
      </c>
      <c r="Z18" s="11" t="s">
        <v>136</v>
      </c>
      <c r="AA18" s="11" t="s">
        <v>135</v>
      </c>
      <c r="AB18" s="5">
        <f>V18-V16</f>
        <v>4010</v>
      </c>
      <c r="AC18" s="17">
        <f>SQRT(SUMSQ(W16,W18))</f>
        <v>2642.820463065927</v>
      </c>
      <c r="AD18" s="24" t="s">
        <v>94</v>
      </c>
    </row>
    <row r="19" spans="20:30" ht="12.75">
      <c r="T19" s="10"/>
      <c r="U19" s="11"/>
      <c r="V19" s="11"/>
      <c r="W19" s="11"/>
      <c r="X19" s="5"/>
      <c r="Y19" s="5"/>
      <c r="Z19" s="11"/>
      <c r="AA19" s="11"/>
      <c r="AB19" s="5"/>
      <c r="AC19" s="17"/>
      <c r="AD19" s="24"/>
    </row>
    <row r="20" spans="20:30" ht="12.75">
      <c r="T20" s="10" t="s">
        <v>138</v>
      </c>
      <c r="U20" s="11"/>
      <c r="V20" s="11"/>
      <c r="W20" s="11"/>
      <c r="X20" s="5"/>
      <c r="Y20" s="5"/>
      <c r="Z20" s="11"/>
      <c r="AA20" s="11" t="s">
        <v>139</v>
      </c>
      <c r="AB20" s="5">
        <f>V17-V12</f>
        <v>70</v>
      </c>
      <c r="AC20" s="17">
        <f>SQRT(SUMSQ(W17,W12))</f>
        <v>1322.3085872821066</v>
      </c>
      <c r="AD20" s="24" t="s">
        <v>94</v>
      </c>
    </row>
    <row r="21" spans="5:30" ht="12.75">
      <c r="E21" s="21"/>
      <c r="T21" s="10"/>
      <c r="U21" s="11"/>
      <c r="V21" s="11"/>
      <c r="W21" s="11"/>
      <c r="X21" s="5"/>
      <c r="Y21" s="5"/>
      <c r="Z21" s="11"/>
      <c r="AA21" s="11" t="s">
        <v>140</v>
      </c>
      <c r="AB21" s="5">
        <f>V17-V13</f>
        <v>380</v>
      </c>
      <c r="AC21" s="17">
        <f>SQRT(SUMSQ(W13,W17))</f>
        <v>1294.488315899375</v>
      </c>
      <c r="AD21" s="24" t="s">
        <v>94</v>
      </c>
    </row>
    <row r="22" spans="20:30" ht="12.75">
      <c r="T22" s="10"/>
      <c r="U22" s="11"/>
      <c r="V22" s="11"/>
      <c r="W22" s="11"/>
      <c r="X22" s="5"/>
      <c r="Y22" s="5"/>
      <c r="Z22" s="11"/>
      <c r="AA22" s="11" t="s">
        <v>141</v>
      </c>
      <c r="AB22" s="5">
        <f>V17-V14</f>
        <v>200</v>
      </c>
      <c r="AC22" s="17">
        <f>SQRT(SUMSQ(W17,W14))</f>
        <v>1308.3195328359202</v>
      </c>
      <c r="AD22" s="24" t="s">
        <v>94</v>
      </c>
    </row>
    <row r="23" spans="20:30" ht="12.75">
      <c r="T23" s="10"/>
      <c r="U23" s="11"/>
      <c r="V23" s="11"/>
      <c r="W23" s="11"/>
      <c r="X23" s="5"/>
      <c r="Y23" s="5"/>
      <c r="Z23" s="11"/>
      <c r="AA23" s="11" t="s">
        <v>142</v>
      </c>
      <c r="AB23" s="5">
        <f>V16-V12</f>
        <v>3190</v>
      </c>
      <c r="AC23" s="17">
        <f>SQRT(SUMSQ(W12,W16))</f>
        <v>1655.838156342582</v>
      </c>
      <c r="AD23" s="24" t="s">
        <v>94</v>
      </c>
    </row>
    <row r="24" spans="20:30" ht="12.75">
      <c r="T24" s="10"/>
      <c r="U24" s="11"/>
      <c r="V24" s="11"/>
      <c r="W24" s="11"/>
      <c r="X24" s="5"/>
      <c r="Y24" s="5"/>
      <c r="Z24" s="11"/>
      <c r="AA24" s="11" t="s">
        <v>143</v>
      </c>
      <c r="AB24" s="5">
        <f>V16-V13</f>
        <v>3500</v>
      </c>
      <c r="AC24" s="17">
        <f>SQRT(SUMSQ(W16,W13))</f>
        <v>1633.7074401495515</v>
      </c>
      <c r="AD24" s="24" t="s">
        <v>127</v>
      </c>
    </row>
    <row r="25" spans="20:30" ht="12.75">
      <c r="T25" s="10"/>
      <c r="U25" s="11"/>
      <c r="V25" s="11"/>
      <c r="W25" s="11"/>
      <c r="X25" s="5"/>
      <c r="Y25" s="5"/>
      <c r="Z25" s="11"/>
      <c r="AA25" s="11" t="s">
        <v>144</v>
      </c>
      <c r="AB25" s="5">
        <f>V16-V14</f>
        <v>3320</v>
      </c>
      <c r="AC25" s="17">
        <f>SQRT(SUMSQ(W16,W14))</f>
        <v>1644.6884203398527</v>
      </c>
      <c r="AD25" s="24" t="s">
        <v>127</v>
      </c>
    </row>
    <row r="26" spans="20:30" ht="12.75">
      <c r="T26" s="10"/>
      <c r="U26" s="11"/>
      <c r="V26" s="11"/>
      <c r="W26" s="11"/>
      <c r="X26" s="5"/>
      <c r="Y26" s="5"/>
      <c r="Z26" s="11"/>
      <c r="AA26" s="11" t="s">
        <v>145</v>
      </c>
      <c r="AB26" s="5">
        <f>V18-V12</f>
        <v>7200</v>
      </c>
      <c r="AC26" s="17">
        <f>SQRT(SUMSQ(W12,W18))</f>
        <v>2443.8698819699875</v>
      </c>
      <c r="AD26" s="24" t="s">
        <v>127</v>
      </c>
    </row>
    <row r="27" spans="20:30" ht="12.75">
      <c r="T27" s="10"/>
      <c r="U27" s="11"/>
      <c r="V27" s="11"/>
      <c r="W27" s="11"/>
      <c r="X27" s="5"/>
      <c r="Y27" s="5"/>
      <c r="Z27" s="11"/>
      <c r="AA27" s="11" t="s">
        <v>146</v>
      </c>
      <c r="AB27" s="5">
        <f>V18-V13</f>
        <v>7510</v>
      </c>
      <c r="AC27" s="17">
        <f>SQRT(SUMSQ(W18,W13))</f>
        <v>2428.9298054904757</v>
      </c>
      <c r="AD27" s="24" t="s">
        <v>126</v>
      </c>
    </row>
    <row r="28" spans="20:30" ht="12.75">
      <c r="T28" s="10"/>
      <c r="U28" s="11"/>
      <c r="V28" s="11"/>
      <c r="W28" s="11"/>
      <c r="X28" s="5"/>
      <c r="Y28" s="5"/>
      <c r="Z28" s="11"/>
      <c r="AA28" s="11" t="s">
        <v>147</v>
      </c>
      <c r="AB28" s="5">
        <f>V18-V14</f>
        <v>7330</v>
      </c>
      <c r="AC28" s="17">
        <f>SQRT(SUMSQ(W18,W14))</f>
        <v>2436.3292059982373</v>
      </c>
      <c r="AD28" s="24" t="s">
        <v>127</v>
      </c>
    </row>
    <row r="29" spans="16:30" ht="12.75">
      <c r="P29" s="11"/>
      <c r="Q29" s="11"/>
      <c r="R29" s="11"/>
      <c r="S29" s="11"/>
      <c r="T29" s="4"/>
      <c r="U29" s="11"/>
      <c r="V29" s="5"/>
      <c r="W29" s="5"/>
      <c r="X29" s="5"/>
      <c r="Y29" s="5"/>
      <c r="Z29" s="11"/>
      <c r="AA29" s="5"/>
      <c r="AB29" s="5"/>
      <c r="AC29" s="5"/>
      <c r="AD29" s="24"/>
    </row>
    <row r="30" spans="16:30" ht="13.5" thickBot="1">
      <c r="P30" s="5"/>
      <c r="Q30" s="5"/>
      <c r="R30" s="5"/>
      <c r="S30" s="5"/>
      <c r="T30" s="7"/>
      <c r="U30" s="13"/>
      <c r="V30" s="8"/>
      <c r="W30" s="8"/>
      <c r="X30" s="8"/>
      <c r="Y30" s="8"/>
      <c r="Z30" s="13"/>
      <c r="AA30" s="8"/>
      <c r="AB30" s="8"/>
      <c r="AC30" s="8"/>
      <c r="AD30" s="25"/>
    </row>
  </sheetData>
  <printOptions/>
  <pageMargins left="0.75" right="0.75" top="1" bottom="1" header="0.5" footer="0.5"/>
  <pageSetup fitToWidth="3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0"/>
  <sheetViews>
    <sheetView workbookViewId="0" topLeftCell="A1">
      <selection activeCell="J1" sqref="J1:J16384"/>
    </sheetView>
  </sheetViews>
  <sheetFormatPr defaultColWidth="11.00390625" defaultRowHeight="12"/>
  <cols>
    <col min="2" max="2" width="15.875" style="0" customWidth="1"/>
    <col min="5" max="6" width="12.125" style="0" customWidth="1"/>
    <col min="7" max="8" width="12.375" style="0" customWidth="1"/>
    <col min="9" max="9" width="16.00390625" style="0" bestFit="1" customWidth="1"/>
    <col min="10" max="11" width="16.00390625" style="0" customWidth="1"/>
    <col min="12" max="12" width="12.375" style="0" customWidth="1"/>
    <col min="13" max="13" width="22.375" style="0" bestFit="1" customWidth="1"/>
    <col min="14" max="14" width="22.375" style="0" customWidth="1"/>
    <col min="15" max="15" width="15.625" style="0" customWidth="1"/>
    <col min="16" max="16" width="18.375" style="0" bestFit="1" customWidth="1"/>
    <col min="17" max="17" width="17.625" style="0" bestFit="1" customWidth="1"/>
    <col min="18" max="18" width="30.50390625" style="0" bestFit="1" customWidth="1"/>
    <col min="19" max="19" width="44.875" style="0" bestFit="1" customWidth="1"/>
    <col min="20" max="20" width="15.375" style="0" bestFit="1" customWidth="1"/>
    <col min="22" max="22" width="26.625" style="0" customWidth="1"/>
    <col min="23" max="23" width="17.125" style="0" customWidth="1"/>
    <col min="28" max="28" width="14.00390625" style="0" bestFit="1" customWidth="1"/>
    <col min="29" max="29" width="10.625" style="0" bestFit="1" customWidth="1"/>
    <col min="30" max="30" width="55.125" style="0" customWidth="1"/>
    <col min="32" max="32" width="42.875" style="0" customWidth="1"/>
  </cols>
  <sheetData>
    <row r="1" ht="13.5" thickBot="1"/>
    <row r="2" spans="2:30" ht="12.75">
      <c r="B2" s="1" t="s">
        <v>84</v>
      </c>
      <c r="C2" s="2"/>
      <c r="D2" s="2"/>
      <c r="E2" s="2"/>
      <c r="F2" s="2"/>
      <c r="G2" s="2"/>
      <c r="H2" s="2"/>
      <c r="I2" s="3"/>
      <c r="J2" s="5"/>
      <c r="K2" s="5"/>
      <c r="L2" s="5"/>
      <c r="M2" s="14" t="s">
        <v>96</v>
      </c>
      <c r="N2" s="2"/>
      <c r="O2" s="2"/>
      <c r="P2" s="2"/>
      <c r="Q2" s="2"/>
      <c r="R2" s="3"/>
      <c r="S2" s="5"/>
      <c r="T2" s="14" t="s">
        <v>101</v>
      </c>
      <c r="U2" s="2"/>
      <c r="V2" s="2"/>
      <c r="W2" s="2"/>
      <c r="X2" s="2"/>
      <c r="Y2" s="2"/>
      <c r="Z2" s="2" t="s">
        <v>123</v>
      </c>
      <c r="AA2" s="2"/>
      <c r="AB2" s="2"/>
      <c r="AC2" s="2"/>
      <c r="AD2" s="3"/>
    </row>
    <row r="3" spans="2:30" ht="12.75">
      <c r="B3" s="4" t="s">
        <v>93</v>
      </c>
      <c r="C3" s="5"/>
      <c r="D3" s="5"/>
      <c r="E3" s="5"/>
      <c r="F3" s="5"/>
      <c r="G3" s="5"/>
      <c r="H3" s="5"/>
      <c r="I3" s="6"/>
      <c r="J3" s="5"/>
      <c r="K3" s="5"/>
      <c r="L3" s="5"/>
      <c r="M3" s="4" t="s">
        <v>97</v>
      </c>
      <c r="N3" s="5"/>
      <c r="O3" s="5"/>
      <c r="P3" s="5"/>
      <c r="Q3" s="5"/>
      <c r="R3" s="6"/>
      <c r="S3" s="5"/>
      <c r="T3" s="4" t="s">
        <v>119</v>
      </c>
      <c r="U3" s="5" t="s">
        <v>107</v>
      </c>
      <c r="V3" s="5"/>
      <c r="W3" s="5"/>
      <c r="X3" s="5"/>
      <c r="Y3" s="5"/>
      <c r="Z3" s="5" t="s">
        <v>124</v>
      </c>
      <c r="AA3" s="5"/>
      <c r="AB3" s="5"/>
      <c r="AC3" s="5"/>
      <c r="AD3" s="6"/>
    </row>
    <row r="4" spans="2:30" ht="12.75"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4" t="s">
        <v>179</v>
      </c>
      <c r="N4" s="5"/>
      <c r="O4" s="5"/>
      <c r="P4" s="5"/>
      <c r="Q4" s="5"/>
      <c r="R4" s="6"/>
      <c r="S4" s="5"/>
      <c r="T4" s="4"/>
      <c r="U4" s="5" t="s">
        <v>103</v>
      </c>
      <c r="V4" s="5"/>
      <c r="W4" s="5"/>
      <c r="X4" s="5"/>
      <c r="Y4" s="5"/>
      <c r="Z4" s="5" t="s">
        <v>125</v>
      </c>
      <c r="AA4" s="5"/>
      <c r="AB4" s="5"/>
      <c r="AC4" s="5"/>
      <c r="AD4" s="6"/>
    </row>
    <row r="5" spans="2:30" ht="12.75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4"/>
      <c r="N5" s="5"/>
      <c r="O5" s="5"/>
      <c r="P5" s="5"/>
      <c r="Q5" s="5"/>
      <c r="R5" s="6"/>
      <c r="S5" s="5"/>
      <c r="T5" s="4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12.75">
      <c r="B6" s="4" t="s">
        <v>82</v>
      </c>
      <c r="C6" s="5" t="s">
        <v>78</v>
      </c>
      <c r="D6" s="5" t="s">
        <v>79</v>
      </c>
      <c r="E6" s="5" t="s">
        <v>80</v>
      </c>
      <c r="F6" s="5"/>
      <c r="G6" s="5" t="s">
        <v>81</v>
      </c>
      <c r="H6" s="5"/>
      <c r="I6" s="6" t="s">
        <v>102</v>
      </c>
      <c r="J6" s="5"/>
      <c r="K6" s="5"/>
      <c r="L6" s="5"/>
      <c r="M6" s="4" t="s">
        <v>82</v>
      </c>
      <c r="N6" s="5" t="s">
        <v>98</v>
      </c>
      <c r="O6" s="5" t="s">
        <v>99</v>
      </c>
      <c r="P6" s="5" t="s">
        <v>100</v>
      </c>
      <c r="Q6" s="5" t="s">
        <v>120</v>
      </c>
      <c r="R6" s="6" t="s">
        <v>28</v>
      </c>
      <c r="T6" s="4" t="s">
        <v>104</v>
      </c>
      <c r="U6" s="5" t="s">
        <v>105</v>
      </c>
      <c r="V6" s="5" t="s">
        <v>78</v>
      </c>
      <c r="W6" s="5" t="s">
        <v>106</v>
      </c>
      <c r="X6" s="5" t="s">
        <v>81</v>
      </c>
      <c r="Y6" s="5"/>
      <c r="Z6" s="5" t="s">
        <v>111</v>
      </c>
      <c r="AA6" s="5" t="s">
        <v>114</v>
      </c>
      <c r="AB6" s="5" t="s">
        <v>122</v>
      </c>
      <c r="AC6" s="5" t="s">
        <v>109</v>
      </c>
      <c r="AD6" s="6" t="s">
        <v>118</v>
      </c>
    </row>
    <row r="7" spans="2:30" ht="12.75">
      <c r="B7" s="4"/>
      <c r="C7" s="5"/>
      <c r="D7" s="5"/>
      <c r="E7" s="5"/>
      <c r="F7" s="5"/>
      <c r="G7" s="5"/>
      <c r="H7" s="5"/>
      <c r="I7" s="6"/>
      <c r="J7" s="5"/>
      <c r="K7" s="5"/>
      <c r="L7" s="5"/>
      <c r="M7" s="4"/>
      <c r="N7" s="5"/>
      <c r="O7" s="5"/>
      <c r="P7" s="5"/>
      <c r="Q7" s="5" t="s">
        <v>21</v>
      </c>
      <c r="R7" s="6"/>
      <c r="T7" s="4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1" ht="12.75">
      <c r="B8" s="10" t="s">
        <v>154</v>
      </c>
      <c r="C8" s="11">
        <v>30090</v>
      </c>
      <c r="D8" s="11">
        <v>390</v>
      </c>
      <c r="E8" s="5">
        <f aca="true" t="shared" si="0" ref="E8:E14">$C8-$D8</f>
        <v>29700</v>
      </c>
      <c r="F8" s="5">
        <f aca="true" t="shared" si="1" ref="F8:F14">C8+D8</f>
        <v>30480</v>
      </c>
      <c r="G8" s="5">
        <f aca="true" t="shared" si="2" ref="G8:G14">$C8-($D8*2)</f>
        <v>29310</v>
      </c>
      <c r="H8" s="5">
        <f aca="true" t="shared" si="3" ref="H8:H14">$C8+($D8*2)</f>
        <v>30870</v>
      </c>
      <c r="I8" s="24" t="s">
        <v>94</v>
      </c>
      <c r="J8" s="11"/>
      <c r="K8" s="11"/>
      <c r="L8" s="5"/>
      <c r="M8" s="4" t="str">
        <f>$B8</f>
        <v>GI13</v>
      </c>
      <c r="N8" s="11">
        <v>0.0236</v>
      </c>
      <c r="O8" s="11">
        <v>1.9</v>
      </c>
      <c r="P8" s="15">
        <f aca="true" t="shared" si="4" ref="P8:P16">$N8*$O8</f>
        <v>0.04484</v>
      </c>
      <c r="Q8" s="23">
        <f>(EXP(-225.69*($P8)))*100</f>
        <v>0.004026855767930364</v>
      </c>
      <c r="R8" s="24" t="s">
        <v>30</v>
      </c>
      <c r="S8" s="18"/>
      <c r="T8" s="10" t="s">
        <v>110</v>
      </c>
      <c r="U8" s="11" t="s">
        <v>151</v>
      </c>
      <c r="V8" s="11">
        <v>29070</v>
      </c>
      <c r="W8" s="11">
        <v>340</v>
      </c>
      <c r="X8" s="5">
        <f>$V8-($W8*2)</f>
        <v>28390</v>
      </c>
      <c r="Y8" s="5">
        <f>$V8+($W8*2)</f>
        <v>29750</v>
      </c>
      <c r="Z8" s="11" t="s">
        <v>95</v>
      </c>
      <c r="AA8" s="11" t="s">
        <v>160</v>
      </c>
      <c r="AB8" s="5">
        <f>V9-V8</f>
        <v>200</v>
      </c>
      <c r="AC8" s="17">
        <f>SQRT(SUMSQ(W9,W8))</f>
        <v>487.95491595023407</v>
      </c>
      <c r="AD8" s="24" t="s">
        <v>94</v>
      </c>
      <c r="AE8" s="18"/>
    </row>
    <row r="9" spans="2:31" ht="12.75">
      <c r="B9" s="10" t="s">
        <v>151</v>
      </c>
      <c r="C9" s="11">
        <v>29070</v>
      </c>
      <c r="D9" s="11">
        <v>340</v>
      </c>
      <c r="E9" s="5">
        <f t="shared" si="0"/>
        <v>28730</v>
      </c>
      <c r="F9" s="5">
        <f t="shared" si="1"/>
        <v>29410</v>
      </c>
      <c r="G9" s="5">
        <f t="shared" si="2"/>
        <v>28390</v>
      </c>
      <c r="H9" s="5">
        <f t="shared" si="3"/>
        <v>29750</v>
      </c>
      <c r="I9" s="24" t="s">
        <v>94</v>
      </c>
      <c r="J9" s="11"/>
      <c r="K9" s="11"/>
      <c r="L9" s="5"/>
      <c r="M9" s="4" t="str">
        <f>$B9</f>
        <v>GI25 A</v>
      </c>
      <c r="N9" s="11">
        <v>0.0268</v>
      </c>
      <c r="O9" s="11">
        <v>3.1</v>
      </c>
      <c r="P9" s="15">
        <f t="shared" si="4"/>
        <v>0.08308</v>
      </c>
      <c r="Q9" s="23">
        <f aca="true" t="shared" si="5" ref="Q9:Q16">(EXP(-225.69*($P9)))*100</f>
        <v>7.191793878630609E-07</v>
      </c>
      <c r="R9" s="24" t="s">
        <v>30</v>
      </c>
      <c r="S9" s="18"/>
      <c r="T9" s="10"/>
      <c r="U9" s="11" t="s">
        <v>152</v>
      </c>
      <c r="V9" s="11">
        <v>29270</v>
      </c>
      <c r="W9" s="11">
        <v>350</v>
      </c>
      <c r="X9" s="5">
        <f>$V9-($W9*2)</f>
        <v>28570</v>
      </c>
      <c r="Y9" s="5">
        <f>$V9+($W9*2)</f>
        <v>29970</v>
      </c>
      <c r="Z9" s="11" t="s">
        <v>156</v>
      </c>
      <c r="AA9" s="11" t="s">
        <v>161</v>
      </c>
      <c r="AB9" s="5">
        <f>V9-V10</f>
        <v>960</v>
      </c>
      <c r="AC9" s="17">
        <f>SQRT(SUMSQ(W10,W9))</f>
        <v>474.23622805517505</v>
      </c>
      <c r="AD9" s="24" t="s">
        <v>94</v>
      </c>
      <c r="AE9" s="18"/>
    </row>
    <row r="10" spans="2:31" ht="12.75">
      <c r="B10" s="10" t="s">
        <v>152</v>
      </c>
      <c r="C10" s="11">
        <v>29270</v>
      </c>
      <c r="D10" s="11">
        <v>350</v>
      </c>
      <c r="E10" s="5">
        <f t="shared" si="0"/>
        <v>28920</v>
      </c>
      <c r="F10" s="5">
        <f t="shared" si="1"/>
        <v>29620</v>
      </c>
      <c r="G10" s="5">
        <f t="shared" si="2"/>
        <v>28570</v>
      </c>
      <c r="H10" s="5">
        <f t="shared" si="3"/>
        <v>29970</v>
      </c>
      <c r="I10" s="24" t="s">
        <v>94</v>
      </c>
      <c r="J10" s="11"/>
      <c r="K10" s="11"/>
      <c r="L10" s="5"/>
      <c r="M10" s="4" t="str">
        <f aca="true" t="shared" si="6" ref="M10:M15">$B10</f>
        <v>GI25 B</v>
      </c>
      <c r="N10" s="11">
        <v>0.0261</v>
      </c>
      <c r="O10" s="11">
        <v>2.2</v>
      </c>
      <c r="P10" s="15">
        <f t="shared" si="4"/>
        <v>0.057420000000000006</v>
      </c>
      <c r="Q10" s="23">
        <f t="shared" si="5"/>
        <v>0.00023546468482994786</v>
      </c>
      <c r="R10" s="24" t="s">
        <v>30</v>
      </c>
      <c r="S10" s="18"/>
      <c r="T10" s="10"/>
      <c r="U10" s="11" t="s">
        <v>153</v>
      </c>
      <c r="V10" s="11">
        <v>28310</v>
      </c>
      <c r="W10" s="11">
        <v>320</v>
      </c>
      <c r="X10" s="5">
        <f>$V10-($W10*2)</f>
        <v>27670</v>
      </c>
      <c r="Y10" s="5">
        <f>$V10+($W10*2)</f>
        <v>28950</v>
      </c>
      <c r="Z10" s="11" t="s">
        <v>95</v>
      </c>
      <c r="AA10" s="11" t="s">
        <v>162</v>
      </c>
      <c r="AB10" s="5">
        <f>V8-V10</f>
        <v>760</v>
      </c>
      <c r="AC10" s="17">
        <f>SQRT(SUMSQ(W8,W10))</f>
        <v>466.9047011971501</v>
      </c>
      <c r="AD10" s="24" t="s">
        <v>94</v>
      </c>
      <c r="AE10" s="18"/>
    </row>
    <row r="11" spans="2:31" ht="12.75">
      <c r="B11" s="10" t="s">
        <v>153</v>
      </c>
      <c r="C11" s="11">
        <v>28310</v>
      </c>
      <c r="D11" s="11">
        <v>320</v>
      </c>
      <c r="E11" s="5">
        <f t="shared" si="0"/>
        <v>27990</v>
      </c>
      <c r="F11" s="5">
        <f t="shared" si="1"/>
        <v>28630</v>
      </c>
      <c r="G11" s="5">
        <f t="shared" si="2"/>
        <v>27670</v>
      </c>
      <c r="H11" s="5">
        <f t="shared" si="3"/>
        <v>28950</v>
      </c>
      <c r="I11" s="24" t="s">
        <v>94</v>
      </c>
      <c r="J11" s="11"/>
      <c r="K11" s="11"/>
      <c r="L11" s="5"/>
      <c r="M11" s="4" t="str">
        <f t="shared" si="6"/>
        <v>GI25 D</v>
      </c>
      <c r="N11" s="11">
        <v>0.0295</v>
      </c>
      <c r="O11" s="11">
        <v>0.6</v>
      </c>
      <c r="P11" s="15">
        <f t="shared" si="4"/>
        <v>0.017699999999999997</v>
      </c>
      <c r="Q11" s="23">
        <f t="shared" si="5"/>
        <v>1.841273010601112</v>
      </c>
      <c r="R11" s="24" t="s">
        <v>30</v>
      </c>
      <c r="S11" s="18"/>
      <c r="T11" s="10"/>
      <c r="U11" s="11"/>
      <c r="V11" s="11"/>
      <c r="W11" s="11"/>
      <c r="X11" s="5"/>
      <c r="Y11" s="5"/>
      <c r="Z11" s="11"/>
      <c r="AA11" s="11"/>
      <c r="AC11" s="5"/>
      <c r="AD11" s="24"/>
      <c r="AE11" s="18"/>
    </row>
    <row r="12" spans="2:30" ht="12.75">
      <c r="B12" s="10" t="s">
        <v>148</v>
      </c>
      <c r="C12" s="11">
        <v>36890</v>
      </c>
      <c r="D12" s="11">
        <v>990</v>
      </c>
      <c r="E12" s="5">
        <f t="shared" si="0"/>
        <v>35900</v>
      </c>
      <c r="F12" s="5">
        <f t="shared" si="1"/>
        <v>37880</v>
      </c>
      <c r="G12" s="5">
        <f t="shared" si="2"/>
        <v>34910</v>
      </c>
      <c r="H12" s="5">
        <f t="shared" si="3"/>
        <v>38870</v>
      </c>
      <c r="I12" s="24" t="s">
        <v>94</v>
      </c>
      <c r="J12" s="11"/>
      <c r="K12" s="11"/>
      <c r="L12" s="5"/>
      <c r="M12" s="4" t="str">
        <f t="shared" si="6"/>
        <v>GI41</v>
      </c>
      <c r="N12" s="11">
        <v>0.0197</v>
      </c>
      <c r="O12" s="11">
        <v>6.8</v>
      </c>
      <c r="P12" s="15">
        <f t="shared" si="4"/>
        <v>0.13396</v>
      </c>
      <c r="Q12" s="23">
        <f t="shared" si="5"/>
        <v>7.409469926890316E-12</v>
      </c>
      <c r="R12" s="24" t="s">
        <v>30</v>
      </c>
      <c r="S12" s="18"/>
      <c r="T12" s="10" t="s">
        <v>155</v>
      </c>
      <c r="U12" s="11" t="s">
        <v>154</v>
      </c>
      <c r="V12" s="11">
        <v>30090</v>
      </c>
      <c r="W12" s="11">
        <v>390</v>
      </c>
      <c r="X12" s="5">
        <f>$V12-($W12*2)</f>
        <v>29310</v>
      </c>
      <c r="Y12" s="5">
        <f>$V12+($W12*2)</f>
        <v>30870</v>
      </c>
      <c r="Z12" s="11" t="s">
        <v>157</v>
      </c>
      <c r="AA12" s="11" t="s">
        <v>163</v>
      </c>
      <c r="AB12">
        <f>V12-V13</f>
        <v>1020</v>
      </c>
      <c r="AC12" s="17">
        <f>SQRT(SUMSQ(W13,W12))</f>
        <v>517.3973328110612</v>
      </c>
      <c r="AD12" s="24" t="s">
        <v>94</v>
      </c>
    </row>
    <row r="13" spans="2:30" ht="12" customHeight="1">
      <c r="B13" s="10" t="s">
        <v>149</v>
      </c>
      <c r="C13" s="11">
        <v>28790</v>
      </c>
      <c r="D13" s="11">
        <v>330</v>
      </c>
      <c r="E13" s="5">
        <f t="shared" si="0"/>
        <v>28460</v>
      </c>
      <c r="F13" s="5">
        <f t="shared" si="1"/>
        <v>29120</v>
      </c>
      <c r="G13" s="5">
        <f t="shared" si="2"/>
        <v>28130</v>
      </c>
      <c r="H13" s="5">
        <f t="shared" si="3"/>
        <v>29450</v>
      </c>
      <c r="I13" s="24" t="s">
        <v>94</v>
      </c>
      <c r="J13" s="11"/>
      <c r="K13" s="11"/>
      <c r="L13" s="5"/>
      <c r="M13" s="4" t="str">
        <f t="shared" si="6"/>
        <v>GI63</v>
      </c>
      <c r="N13" s="11">
        <v>0.0278</v>
      </c>
      <c r="O13" s="11">
        <v>6.1</v>
      </c>
      <c r="P13" s="15">
        <f t="shared" si="4"/>
        <v>0.16957999999999998</v>
      </c>
      <c r="Q13" s="23">
        <f t="shared" si="5"/>
        <v>2.3903418301861544E-15</v>
      </c>
      <c r="R13" s="24" t="s">
        <v>30</v>
      </c>
      <c r="S13" s="18"/>
      <c r="T13" s="10"/>
      <c r="U13" s="11" t="s">
        <v>151</v>
      </c>
      <c r="V13" s="11">
        <v>29070</v>
      </c>
      <c r="W13" s="11">
        <v>340</v>
      </c>
      <c r="X13" s="5">
        <f>$V13-($W13*2)</f>
        <v>28390</v>
      </c>
      <c r="Y13" s="5">
        <f>$V13+($W13*2)</f>
        <v>29750</v>
      </c>
      <c r="Z13" s="11" t="s">
        <v>95</v>
      </c>
      <c r="AA13" s="11" t="s">
        <v>164</v>
      </c>
      <c r="AB13">
        <f>V12-V14</f>
        <v>820</v>
      </c>
      <c r="AC13" s="17">
        <f>SQRT(SUMSQ(W14,W12))</f>
        <v>524.0229002629561</v>
      </c>
      <c r="AD13" s="24" t="s">
        <v>94</v>
      </c>
    </row>
    <row r="14" spans="2:30" ht="12.75">
      <c r="B14" s="10" t="s">
        <v>150</v>
      </c>
      <c r="C14" s="11">
        <v>11550</v>
      </c>
      <c r="D14" s="11">
        <v>50</v>
      </c>
      <c r="E14" s="5">
        <f t="shared" si="0"/>
        <v>11500</v>
      </c>
      <c r="F14" s="5">
        <f t="shared" si="1"/>
        <v>11600</v>
      </c>
      <c r="G14" s="5">
        <f t="shared" si="2"/>
        <v>11450</v>
      </c>
      <c r="H14" s="5">
        <f t="shared" si="3"/>
        <v>11650</v>
      </c>
      <c r="I14" s="24" t="s">
        <v>94</v>
      </c>
      <c r="J14" s="11"/>
      <c r="K14" s="11"/>
      <c r="L14" s="5"/>
      <c r="M14" s="4" t="str">
        <f t="shared" si="6"/>
        <v>GI83</v>
      </c>
      <c r="N14" s="11">
        <v>0.2375</v>
      </c>
      <c r="O14" s="11" t="s">
        <v>137</v>
      </c>
      <c r="P14" s="15" t="e">
        <f t="shared" si="4"/>
        <v>#VALUE!</v>
      </c>
      <c r="Q14" s="17" t="e">
        <f t="shared" si="5"/>
        <v>#VALUE!</v>
      </c>
      <c r="R14" s="24"/>
      <c r="S14" s="18"/>
      <c r="T14" s="10"/>
      <c r="U14" s="11" t="s">
        <v>152</v>
      </c>
      <c r="V14" s="11">
        <v>29270</v>
      </c>
      <c r="W14" s="11">
        <v>350</v>
      </c>
      <c r="X14" s="5">
        <f>$V14-($W14*2)</f>
        <v>28570</v>
      </c>
      <c r="Y14" s="5">
        <f>$V14+($W14*2)</f>
        <v>29970</v>
      </c>
      <c r="Z14" s="11" t="s">
        <v>95</v>
      </c>
      <c r="AA14" s="11" t="s">
        <v>165</v>
      </c>
      <c r="AB14">
        <f>V12-V15</f>
        <v>1780</v>
      </c>
      <c r="AC14" s="17">
        <f>SQRT(SUMSQ(W12,W15))</f>
        <v>504.47993022517755</v>
      </c>
      <c r="AD14" s="24" t="s">
        <v>126</v>
      </c>
    </row>
    <row r="15" spans="2:30" ht="12.75">
      <c r="B15" s="10"/>
      <c r="C15" s="5"/>
      <c r="D15" s="5"/>
      <c r="E15" s="5" t="e">
        <f>#REF!-#REF!</f>
        <v>#REF!</v>
      </c>
      <c r="F15" s="5" t="e">
        <f>#REF!+#REF!</f>
        <v>#REF!</v>
      </c>
      <c r="G15" s="5" t="e">
        <f>#REF!-(#REF!*2)</f>
        <v>#REF!</v>
      </c>
      <c r="H15" s="5" t="e">
        <f>#REF!+(#REF!*2)</f>
        <v>#REF!</v>
      </c>
      <c r="I15" s="24" t="s">
        <v>94</v>
      </c>
      <c r="J15" s="11"/>
      <c r="K15" s="11"/>
      <c r="L15" s="5"/>
      <c r="M15" s="4">
        <f t="shared" si="6"/>
        <v>0</v>
      </c>
      <c r="N15" s="11"/>
      <c r="O15" s="11"/>
      <c r="P15" s="15">
        <f t="shared" si="4"/>
        <v>0</v>
      </c>
      <c r="Q15" s="17">
        <f t="shared" si="5"/>
        <v>100</v>
      </c>
      <c r="R15" s="24"/>
      <c r="S15" s="18"/>
      <c r="T15" s="10"/>
      <c r="U15" s="11" t="s">
        <v>153</v>
      </c>
      <c r="V15" s="11">
        <v>28310</v>
      </c>
      <c r="W15" s="11">
        <v>320</v>
      </c>
      <c r="X15" s="5">
        <f>$V15-($W15*2)</f>
        <v>27670</v>
      </c>
      <c r="Y15" s="5">
        <f>$V15+($W15*2)</f>
        <v>28950</v>
      </c>
      <c r="Z15" s="11" t="s">
        <v>159</v>
      </c>
      <c r="AA15" s="11" t="s">
        <v>166</v>
      </c>
      <c r="AB15">
        <f>V12-V16</f>
        <v>1300</v>
      </c>
      <c r="AC15" s="17">
        <f>SQRT(SUMSQ(W12,W16))</f>
        <v>510.88159097779203</v>
      </c>
      <c r="AD15" s="24" t="s">
        <v>127</v>
      </c>
    </row>
    <row r="16" spans="2:30" ht="13.5" thickBot="1">
      <c r="B16" s="12"/>
      <c r="C16" s="8"/>
      <c r="D16" s="8"/>
      <c r="E16" s="8" t="e">
        <f>#REF!-#REF!</f>
        <v>#REF!</v>
      </c>
      <c r="F16" s="8" t="e">
        <f>#REF!+#REF!</f>
        <v>#REF!</v>
      </c>
      <c r="G16" s="8" t="e">
        <f>#REF!-(#REF!*2)</f>
        <v>#REF!</v>
      </c>
      <c r="H16" s="8" t="e">
        <f>#REF!+(#REF!*2)</f>
        <v>#REF!</v>
      </c>
      <c r="I16" s="25"/>
      <c r="J16" s="11"/>
      <c r="K16" s="11"/>
      <c r="L16" s="5"/>
      <c r="M16" s="7">
        <f>$B16</f>
        <v>0</v>
      </c>
      <c r="N16" s="13"/>
      <c r="O16" s="13"/>
      <c r="P16" s="16">
        <f t="shared" si="4"/>
        <v>0</v>
      </c>
      <c r="Q16" s="22">
        <f t="shared" si="5"/>
        <v>100</v>
      </c>
      <c r="R16" s="25"/>
      <c r="S16" s="18"/>
      <c r="T16" s="10"/>
      <c r="U16" s="11" t="s">
        <v>149</v>
      </c>
      <c r="V16" s="11">
        <v>28790</v>
      </c>
      <c r="W16" s="11">
        <v>330</v>
      </c>
      <c r="X16" s="5">
        <f>$V16-($W16*2)</f>
        <v>28130</v>
      </c>
      <c r="Y16" s="5">
        <f>$V16+($W16*2)</f>
        <v>29450</v>
      </c>
      <c r="Z16" s="11" t="s">
        <v>95</v>
      </c>
      <c r="AA16" s="11" t="s">
        <v>167</v>
      </c>
      <c r="AB16">
        <f>V14-V16</f>
        <v>480</v>
      </c>
      <c r="AC16" s="17">
        <f>SQRT(SUMSQ(W14,W16))</f>
        <v>481.04053883222775</v>
      </c>
      <c r="AD16" s="24" t="s">
        <v>94</v>
      </c>
    </row>
    <row r="17" spans="20:30" ht="12.75">
      <c r="T17" s="10"/>
      <c r="Z17" s="11"/>
      <c r="AA17" s="11"/>
      <c r="AC17" s="17"/>
      <c r="AD17" s="24"/>
    </row>
    <row r="18" spans="20:30" ht="12.75">
      <c r="T18" s="10" t="s">
        <v>158</v>
      </c>
      <c r="U18" s="11" t="s">
        <v>148</v>
      </c>
      <c r="V18" s="11">
        <v>36890</v>
      </c>
      <c r="W18" s="11">
        <v>990</v>
      </c>
      <c r="X18" s="5"/>
      <c r="Y18" s="5"/>
      <c r="Z18" s="11"/>
      <c r="AA18" s="11" t="s">
        <v>168</v>
      </c>
      <c r="AB18">
        <f>V18-V12</f>
        <v>6800</v>
      </c>
      <c r="AC18" s="17">
        <f>SQRT(SUMSQ(W12,W18))</f>
        <v>1064.0488710580921</v>
      </c>
      <c r="AD18" s="24" t="s">
        <v>126</v>
      </c>
    </row>
    <row r="19" spans="20:30" ht="12.75">
      <c r="T19" s="10"/>
      <c r="U19" s="11"/>
      <c r="V19" s="11"/>
      <c r="W19" s="11"/>
      <c r="X19" s="5"/>
      <c r="Y19" s="5"/>
      <c r="Z19" s="11"/>
      <c r="AA19" s="11" t="s">
        <v>169</v>
      </c>
      <c r="AB19">
        <f>V18-V13</f>
        <v>7820</v>
      </c>
      <c r="AC19" s="17">
        <f>SQRT(SUMSQ(W18,W13))</f>
        <v>1046.756896323115</v>
      </c>
      <c r="AD19" s="24" t="s">
        <v>126</v>
      </c>
    </row>
    <row r="20" spans="20:30" ht="12.75">
      <c r="T20" s="10"/>
      <c r="X20" s="5"/>
      <c r="Y20" s="5"/>
      <c r="Z20" s="11"/>
      <c r="AA20" s="11" t="s">
        <v>170</v>
      </c>
      <c r="AB20">
        <f>V18-V14</f>
        <v>7620</v>
      </c>
      <c r="AC20" s="17">
        <f>SQRT(SUMSQ(W18,W14))</f>
        <v>1050.0476179678712</v>
      </c>
      <c r="AD20" s="24" t="s">
        <v>126</v>
      </c>
    </row>
    <row r="21" spans="20:30" ht="12.75">
      <c r="T21" s="10"/>
      <c r="U21" s="11"/>
      <c r="V21" s="11"/>
      <c r="W21" s="11"/>
      <c r="X21" s="5"/>
      <c r="Y21" s="5"/>
      <c r="Z21" s="11"/>
      <c r="AA21" s="11" t="s">
        <v>171</v>
      </c>
      <c r="AB21">
        <f>V18-V15</f>
        <v>8580</v>
      </c>
      <c r="AC21" s="17">
        <f>SQRT(SUMSQ(W18,W15))</f>
        <v>1040.4326023342405</v>
      </c>
      <c r="AD21" s="24" t="s">
        <v>126</v>
      </c>
    </row>
    <row r="22" spans="20:30" ht="12.75">
      <c r="T22" s="10"/>
      <c r="U22" s="11"/>
      <c r="V22" s="11"/>
      <c r="W22" s="11"/>
      <c r="X22" s="5"/>
      <c r="Y22" s="5"/>
      <c r="Z22" s="11"/>
      <c r="AA22" s="11" t="s">
        <v>172</v>
      </c>
      <c r="AB22">
        <f>V18-V16</f>
        <v>8100</v>
      </c>
      <c r="AC22" s="17">
        <f>SQRT(SUMSQ(W18,W16))</f>
        <v>1043.5516278555651</v>
      </c>
      <c r="AD22" s="24" t="s">
        <v>126</v>
      </c>
    </row>
    <row r="23" spans="20:30" ht="12.75">
      <c r="T23" s="10"/>
      <c r="U23" s="11"/>
      <c r="V23" s="11"/>
      <c r="W23" s="11"/>
      <c r="X23" s="5"/>
      <c r="Y23" s="5"/>
      <c r="Z23" s="11"/>
      <c r="AA23" s="11"/>
      <c r="AC23" s="17"/>
      <c r="AD23" s="24"/>
    </row>
    <row r="24" spans="20:30" ht="12.75">
      <c r="T24" s="10" t="s">
        <v>173</v>
      </c>
      <c r="U24" s="11" t="s">
        <v>150</v>
      </c>
      <c r="V24" s="11">
        <v>11550</v>
      </c>
      <c r="W24" s="11">
        <v>50</v>
      </c>
      <c r="X24" s="5"/>
      <c r="Y24" s="5"/>
      <c r="Z24" s="11"/>
      <c r="AA24" s="11" t="s">
        <v>174</v>
      </c>
      <c r="AB24">
        <f>V12-V24</f>
        <v>18540</v>
      </c>
      <c r="AC24" s="17">
        <f>SQRT(SUMSQ(W12,W24))</f>
        <v>393.19206502675</v>
      </c>
      <c r="AD24" s="24" t="s">
        <v>126</v>
      </c>
    </row>
    <row r="25" spans="20:30" ht="12.75">
      <c r="T25" s="10"/>
      <c r="U25" s="11"/>
      <c r="V25" s="11"/>
      <c r="W25" s="11"/>
      <c r="X25" s="5"/>
      <c r="Y25" s="5"/>
      <c r="Z25" s="11"/>
      <c r="AA25" s="11" t="s">
        <v>175</v>
      </c>
      <c r="AB25">
        <f>V13-V24</f>
        <v>17520</v>
      </c>
      <c r="AC25" s="17">
        <f>SQRT(SUMSQ(W13,W24))</f>
        <v>343.6568055487917</v>
      </c>
      <c r="AD25" s="24" t="s">
        <v>126</v>
      </c>
    </row>
    <row r="26" spans="20:30" ht="12.75">
      <c r="T26" s="10"/>
      <c r="U26" s="11"/>
      <c r="V26" s="11"/>
      <c r="W26" s="11"/>
      <c r="X26" s="5"/>
      <c r="Y26" s="5"/>
      <c r="Z26" s="11"/>
      <c r="AA26" s="11" t="s">
        <v>176</v>
      </c>
      <c r="AB26">
        <f>V14-V24</f>
        <v>17720</v>
      </c>
      <c r="AC26" s="17">
        <f>SQRT(SUMSQ(W24,W14))</f>
        <v>353.5533905932738</v>
      </c>
      <c r="AD26" s="24" t="s">
        <v>126</v>
      </c>
    </row>
    <row r="27" spans="20:30" ht="12.75">
      <c r="T27" s="10"/>
      <c r="U27" s="11"/>
      <c r="V27" s="11"/>
      <c r="W27" s="11"/>
      <c r="X27" s="5"/>
      <c r="Y27" s="5"/>
      <c r="Z27" s="11"/>
      <c r="AA27" s="11" t="s">
        <v>177</v>
      </c>
      <c r="AB27">
        <f>V15-V24</f>
        <v>16760</v>
      </c>
      <c r="AC27" s="17">
        <f>SQRT(SUMSQ(W15,W24))</f>
        <v>323.88269481403296</v>
      </c>
      <c r="AD27" s="24" t="s">
        <v>126</v>
      </c>
    </row>
    <row r="28" spans="20:30" ht="12.75">
      <c r="T28" s="10"/>
      <c r="U28" s="11"/>
      <c r="V28" s="11"/>
      <c r="W28" s="11"/>
      <c r="X28" s="5"/>
      <c r="Y28" s="5"/>
      <c r="Z28" s="11"/>
      <c r="AA28" s="11" t="s">
        <v>178</v>
      </c>
      <c r="AB28">
        <f>V16-V24</f>
        <v>17240</v>
      </c>
      <c r="AC28" s="17">
        <f>SQRT(SUMSQ(W16,W24))</f>
        <v>333.7663853655728</v>
      </c>
      <c r="AD28" s="24" t="s">
        <v>126</v>
      </c>
    </row>
    <row r="29" spans="20:30" ht="12.75">
      <c r="T29" s="10"/>
      <c r="U29" s="5"/>
      <c r="V29" s="5"/>
      <c r="W29" s="5"/>
      <c r="X29" s="5"/>
      <c r="Y29" s="5"/>
      <c r="Z29" s="11"/>
      <c r="AA29" s="11"/>
      <c r="AC29" s="5"/>
      <c r="AD29" s="24"/>
    </row>
    <row r="30" spans="20:30" ht="13.5" thickBot="1">
      <c r="T30" s="7"/>
      <c r="U30" s="8"/>
      <c r="V30" s="8"/>
      <c r="W30" s="8"/>
      <c r="X30" s="8"/>
      <c r="Y30" s="8"/>
      <c r="Z30" s="13"/>
      <c r="AA30" s="13"/>
      <c r="AB30" s="8"/>
      <c r="AC30" s="8"/>
      <c r="AD30" s="25"/>
    </row>
  </sheetData>
  <printOptions/>
  <pageMargins left="0.75" right="0.75" top="1" bottom="1" header="0.5" footer="0.5"/>
  <pageSetup fitToWidth="3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35"/>
  <sheetViews>
    <sheetView workbookViewId="0" topLeftCell="D1">
      <selection activeCell="J1" sqref="J1:J16384"/>
    </sheetView>
  </sheetViews>
  <sheetFormatPr defaultColWidth="11.00390625" defaultRowHeight="12"/>
  <cols>
    <col min="2" max="2" width="15.875" style="0" customWidth="1"/>
    <col min="5" max="6" width="12.125" style="0" customWidth="1"/>
    <col min="7" max="8" width="12.375" style="0" customWidth="1"/>
    <col min="9" max="9" width="16.00390625" style="0" bestFit="1" customWidth="1"/>
    <col min="10" max="11" width="16.00390625" style="0" customWidth="1"/>
    <col min="12" max="12" width="12.375" style="0" customWidth="1"/>
    <col min="13" max="13" width="22.375" style="0" bestFit="1" customWidth="1"/>
    <col min="14" max="14" width="22.375" style="0" customWidth="1"/>
    <col min="15" max="15" width="15.625" style="0" customWidth="1"/>
    <col min="16" max="16" width="18.375" style="0" bestFit="1" customWidth="1"/>
    <col min="17" max="17" width="17.625" style="0" bestFit="1" customWidth="1"/>
    <col min="18" max="18" width="30.50390625" style="0" bestFit="1" customWidth="1"/>
    <col min="19" max="19" width="45.00390625" style="0" bestFit="1" customWidth="1"/>
    <col min="20" max="20" width="15.375" style="0" bestFit="1" customWidth="1"/>
    <col min="22" max="22" width="26.625" style="0" customWidth="1"/>
    <col min="23" max="23" width="17.125" style="0" customWidth="1"/>
    <col min="28" max="28" width="14.00390625" style="0" bestFit="1" customWidth="1"/>
    <col min="29" max="29" width="10.625" style="0" bestFit="1" customWidth="1"/>
    <col min="30" max="30" width="54.125" style="0" customWidth="1"/>
    <col min="32" max="32" width="42.875" style="0" customWidth="1"/>
  </cols>
  <sheetData>
    <row r="1" ht="13.5" thickBot="1"/>
    <row r="2" spans="2:30" ht="12.75">
      <c r="B2" s="1" t="s">
        <v>84</v>
      </c>
      <c r="C2" s="2"/>
      <c r="D2" s="2"/>
      <c r="E2" s="2"/>
      <c r="F2" s="2"/>
      <c r="G2" s="2"/>
      <c r="H2" s="2"/>
      <c r="I2" s="3"/>
      <c r="J2" s="5"/>
      <c r="K2" s="5"/>
      <c r="L2" s="5"/>
      <c r="M2" s="14" t="s">
        <v>96</v>
      </c>
      <c r="N2" s="2"/>
      <c r="O2" s="2"/>
      <c r="P2" s="2"/>
      <c r="Q2" s="2"/>
      <c r="R2" s="3"/>
      <c r="S2" s="5"/>
      <c r="T2" s="14" t="s">
        <v>101</v>
      </c>
      <c r="U2" s="2"/>
      <c r="V2" s="2"/>
      <c r="W2" s="2"/>
      <c r="X2" s="2"/>
      <c r="Y2" s="2"/>
      <c r="Z2" s="2" t="s">
        <v>123</v>
      </c>
      <c r="AA2" s="2"/>
      <c r="AB2" s="2"/>
      <c r="AC2" s="2"/>
      <c r="AD2" s="3"/>
    </row>
    <row r="3" spans="2:30" ht="12.75">
      <c r="B3" s="4" t="s">
        <v>93</v>
      </c>
      <c r="C3" s="5"/>
      <c r="D3" s="5"/>
      <c r="E3" s="5"/>
      <c r="F3" s="5"/>
      <c r="G3" s="5"/>
      <c r="H3" s="5"/>
      <c r="I3" s="6"/>
      <c r="J3" s="5"/>
      <c r="K3" s="5"/>
      <c r="L3" s="5"/>
      <c r="M3" s="4" t="s">
        <v>97</v>
      </c>
      <c r="N3" s="5"/>
      <c r="O3" s="5"/>
      <c r="P3" s="5"/>
      <c r="Q3" s="5"/>
      <c r="R3" s="6"/>
      <c r="S3" s="5"/>
      <c r="T3" s="4" t="s">
        <v>119</v>
      </c>
      <c r="U3" s="5" t="s">
        <v>107</v>
      </c>
      <c r="V3" s="5"/>
      <c r="W3" s="5"/>
      <c r="X3" s="5"/>
      <c r="Y3" s="5"/>
      <c r="Z3" s="5" t="s">
        <v>124</v>
      </c>
      <c r="AA3" s="5"/>
      <c r="AB3" s="5"/>
      <c r="AC3" s="5"/>
      <c r="AD3" s="6"/>
    </row>
    <row r="4" spans="2:30" ht="12.75"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4" t="s">
        <v>179</v>
      </c>
      <c r="N4" s="5"/>
      <c r="O4" s="5"/>
      <c r="P4" s="5"/>
      <c r="Q4" s="5"/>
      <c r="R4" s="6"/>
      <c r="S4" s="5"/>
      <c r="T4" s="4"/>
      <c r="U4" s="5" t="s">
        <v>103</v>
      </c>
      <c r="V4" s="5"/>
      <c r="W4" s="5"/>
      <c r="X4" s="5"/>
      <c r="Y4" s="5"/>
      <c r="Z4" s="5" t="s">
        <v>125</v>
      </c>
      <c r="AA4" s="5"/>
      <c r="AB4" s="5"/>
      <c r="AC4" s="5"/>
      <c r="AD4" s="6"/>
    </row>
    <row r="5" spans="2:30" ht="12.75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4"/>
      <c r="N5" s="5"/>
      <c r="O5" s="5"/>
      <c r="P5" s="5"/>
      <c r="Q5" s="5"/>
      <c r="R5" s="6"/>
      <c r="S5" s="5"/>
      <c r="T5" s="4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12.75">
      <c r="B6" s="4" t="s">
        <v>82</v>
      </c>
      <c r="C6" s="5" t="s">
        <v>78</v>
      </c>
      <c r="D6" s="5" t="s">
        <v>79</v>
      </c>
      <c r="E6" s="5" t="s">
        <v>80</v>
      </c>
      <c r="F6" s="5"/>
      <c r="G6" s="5" t="s">
        <v>81</v>
      </c>
      <c r="H6" s="5"/>
      <c r="I6" s="6" t="s">
        <v>102</v>
      </c>
      <c r="J6" s="5"/>
      <c r="K6" s="5"/>
      <c r="L6" s="5"/>
      <c r="M6" s="4" t="s">
        <v>82</v>
      </c>
      <c r="N6" s="5" t="s">
        <v>98</v>
      </c>
      <c r="O6" s="5" t="s">
        <v>99</v>
      </c>
      <c r="P6" s="5" t="s">
        <v>100</v>
      </c>
      <c r="Q6" s="5" t="s">
        <v>120</v>
      </c>
      <c r="R6" s="6" t="s">
        <v>28</v>
      </c>
      <c r="T6" s="4" t="s">
        <v>104</v>
      </c>
      <c r="U6" s="5" t="s">
        <v>105</v>
      </c>
      <c r="V6" s="5" t="s">
        <v>78</v>
      </c>
      <c r="W6" s="5" t="s">
        <v>106</v>
      </c>
      <c r="X6" s="5" t="s">
        <v>81</v>
      </c>
      <c r="Y6" s="5"/>
      <c r="Z6" s="5" t="s">
        <v>111</v>
      </c>
      <c r="AA6" s="5" t="s">
        <v>114</v>
      </c>
      <c r="AB6" s="5" t="s">
        <v>122</v>
      </c>
      <c r="AC6" s="5" t="s">
        <v>109</v>
      </c>
      <c r="AD6" s="6" t="s">
        <v>118</v>
      </c>
    </row>
    <row r="7" spans="2:30" ht="12.75">
      <c r="B7" s="4"/>
      <c r="C7" s="5"/>
      <c r="D7" s="5"/>
      <c r="E7" s="5"/>
      <c r="F7" s="5"/>
      <c r="G7" s="5"/>
      <c r="H7" s="5"/>
      <c r="I7" s="6"/>
      <c r="J7" s="5"/>
      <c r="K7" s="5"/>
      <c r="L7" s="5"/>
      <c r="M7" s="4"/>
      <c r="N7" s="5"/>
      <c r="O7" s="5"/>
      <c r="P7" s="5"/>
      <c r="Q7" s="5" t="s">
        <v>21</v>
      </c>
      <c r="R7" s="6"/>
      <c r="T7" s="4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1" ht="12.75">
      <c r="B8" s="10" t="s">
        <v>180</v>
      </c>
      <c r="C8" s="11">
        <v>39040</v>
      </c>
      <c r="D8" s="11">
        <v>1130</v>
      </c>
      <c r="E8" s="5">
        <f aca="true" t="shared" si="0" ref="E8:E16">$C8-$D8</f>
        <v>37910</v>
      </c>
      <c r="F8" s="5">
        <f aca="true" t="shared" si="1" ref="F8:F13">C8+D8</f>
        <v>40170</v>
      </c>
      <c r="G8" s="5">
        <f aca="true" t="shared" si="2" ref="G8:G16">$C8-($D8*2)</f>
        <v>36780</v>
      </c>
      <c r="H8" s="5">
        <f aca="true" t="shared" si="3" ref="H8:H16">$C8+($D8*2)</f>
        <v>41300</v>
      </c>
      <c r="I8" s="24" t="s">
        <v>95</v>
      </c>
      <c r="J8" s="11"/>
      <c r="K8" s="11"/>
      <c r="L8" s="5"/>
      <c r="M8" s="4" t="str">
        <f aca="true" t="shared" si="4" ref="M8:M16">$B8</f>
        <v>PH19</v>
      </c>
      <c r="N8" s="11">
        <v>0.0078</v>
      </c>
      <c r="O8" s="11">
        <v>1.8</v>
      </c>
      <c r="P8" s="15">
        <f aca="true" t="shared" si="5" ref="P8:P16">$N8*$O8</f>
        <v>0.01404</v>
      </c>
      <c r="Q8" s="17">
        <f>(EXP(-225.69*($P8)))*100</f>
        <v>4.205875961453132</v>
      </c>
      <c r="R8" s="24" t="s">
        <v>30</v>
      </c>
      <c r="S8" s="18"/>
      <c r="T8" s="10" t="s">
        <v>110</v>
      </c>
      <c r="U8" s="11" t="s">
        <v>185</v>
      </c>
      <c r="V8" s="11">
        <v>36890</v>
      </c>
      <c r="W8" s="11">
        <v>990</v>
      </c>
      <c r="X8" s="5">
        <f>$V8-($W8*2)</f>
        <v>34910</v>
      </c>
      <c r="Y8" s="5">
        <f>$V8+($W8*2)</f>
        <v>38870</v>
      </c>
      <c r="Z8" s="11" t="s">
        <v>95</v>
      </c>
      <c r="AA8" s="11" t="s">
        <v>2</v>
      </c>
      <c r="AB8" s="5">
        <f>V10-V8</f>
        <v>1710</v>
      </c>
      <c r="AC8" s="17">
        <f>SQRT(SUMSQ(W10,W8))</f>
        <v>1634.0440630533806</v>
      </c>
      <c r="AD8" s="24" t="s">
        <v>94</v>
      </c>
      <c r="AE8" s="18"/>
    </row>
    <row r="9" spans="2:31" ht="12.75">
      <c r="B9" s="10" t="s">
        <v>185</v>
      </c>
      <c r="C9" s="11">
        <v>36890</v>
      </c>
      <c r="D9" s="11">
        <v>990</v>
      </c>
      <c r="E9" s="5">
        <f t="shared" si="0"/>
        <v>35900</v>
      </c>
      <c r="F9" s="5">
        <f t="shared" si="1"/>
        <v>37880</v>
      </c>
      <c r="G9" s="5">
        <f t="shared" si="2"/>
        <v>34910</v>
      </c>
      <c r="H9" s="5">
        <f t="shared" si="3"/>
        <v>38870</v>
      </c>
      <c r="I9" s="24" t="s">
        <v>94</v>
      </c>
      <c r="J9" s="11"/>
      <c r="K9" s="11"/>
      <c r="L9" s="5"/>
      <c r="M9" s="4" t="str">
        <f t="shared" si="4"/>
        <v>PH21B</v>
      </c>
      <c r="N9" s="11">
        <v>0.0101</v>
      </c>
      <c r="O9" s="11">
        <v>2.7</v>
      </c>
      <c r="P9" s="15">
        <f t="shared" si="5"/>
        <v>0.02727</v>
      </c>
      <c r="Q9" s="17">
        <f aca="true" t="shared" si="6" ref="Q9:Q16">(EXP(-225.69*($P9)))*100</f>
        <v>0.2123761861130431</v>
      </c>
      <c r="R9" s="24" t="s">
        <v>30</v>
      </c>
      <c r="S9" s="18"/>
      <c r="T9" s="10"/>
      <c r="U9" s="11" t="s">
        <v>184</v>
      </c>
      <c r="V9" s="11">
        <v>37900</v>
      </c>
      <c r="W9" s="11">
        <v>1200</v>
      </c>
      <c r="X9" s="5">
        <f>$V9-($W9*2)</f>
        <v>35500</v>
      </c>
      <c r="Y9" s="5">
        <f>$V9+($W9*2)</f>
        <v>40300</v>
      </c>
      <c r="Z9" s="11" t="s">
        <v>156</v>
      </c>
      <c r="AA9" s="11" t="s">
        <v>3</v>
      </c>
      <c r="AB9" s="5">
        <f>V10-V9</f>
        <v>700</v>
      </c>
      <c r="AC9" s="17">
        <f>SQRT(SUMSQ(W10,W9))</f>
        <v>1769.1806012954135</v>
      </c>
      <c r="AD9" s="24" t="s">
        <v>94</v>
      </c>
      <c r="AE9" s="18"/>
    </row>
    <row r="10" spans="2:31" ht="12.75">
      <c r="B10" s="10" t="s">
        <v>184</v>
      </c>
      <c r="C10" s="11">
        <v>37900</v>
      </c>
      <c r="D10" s="11">
        <v>1200</v>
      </c>
      <c r="E10" s="5">
        <f t="shared" si="0"/>
        <v>36700</v>
      </c>
      <c r="F10" s="5">
        <f t="shared" si="1"/>
        <v>39100</v>
      </c>
      <c r="G10" s="5">
        <f t="shared" si="2"/>
        <v>35500</v>
      </c>
      <c r="H10" s="5">
        <f t="shared" si="3"/>
        <v>40300</v>
      </c>
      <c r="I10" s="24" t="s">
        <v>94</v>
      </c>
      <c r="J10" s="11"/>
      <c r="K10" s="11"/>
      <c r="L10" s="5"/>
      <c r="M10" s="4" t="str">
        <f t="shared" si="4"/>
        <v>PH21C</v>
      </c>
      <c r="N10" s="11">
        <v>0.0089</v>
      </c>
      <c r="O10" s="11">
        <v>3.7</v>
      </c>
      <c r="P10" s="15">
        <f t="shared" si="5"/>
        <v>0.03293</v>
      </c>
      <c r="Q10" s="17">
        <f t="shared" si="6"/>
        <v>0.059201907637086694</v>
      </c>
      <c r="R10" s="24" t="s">
        <v>30</v>
      </c>
      <c r="S10" s="18"/>
      <c r="T10" s="10"/>
      <c r="U10" s="11" t="s">
        <v>186</v>
      </c>
      <c r="V10" s="11">
        <v>38600</v>
      </c>
      <c r="W10" s="11">
        <v>1300</v>
      </c>
      <c r="X10" s="5">
        <f>$V10-($W10*2)</f>
        <v>36000</v>
      </c>
      <c r="Y10" s="5">
        <f>$V10+($W10*2)</f>
        <v>41200</v>
      </c>
      <c r="Z10" s="11" t="s">
        <v>95</v>
      </c>
      <c r="AA10" s="11" t="s">
        <v>24</v>
      </c>
      <c r="AB10" s="5">
        <f>V10-V8</f>
        <v>1710</v>
      </c>
      <c r="AC10" s="17">
        <f>SQRT(SUMSQ(W8,W10))</f>
        <v>1634.0440630533806</v>
      </c>
      <c r="AD10" s="24" t="s">
        <v>94</v>
      </c>
      <c r="AE10" s="18"/>
    </row>
    <row r="11" spans="2:31" ht="12.75">
      <c r="B11" s="10" t="s">
        <v>186</v>
      </c>
      <c r="C11" s="11">
        <v>38600</v>
      </c>
      <c r="D11" s="11">
        <v>1300</v>
      </c>
      <c r="E11" s="5">
        <f t="shared" si="0"/>
        <v>37300</v>
      </c>
      <c r="F11" s="5">
        <f t="shared" si="1"/>
        <v>39900</v>
      </c>
      <c r="G11" s="5">
        <f t="shared" si="2"/>
        <v>36000</v>
      </c>
      <c r="H11" s="5">
        <f t="shared" si="3"/>
        <v>41200</v>
      </c>
      <c r="I11" s="24" t="s">
        <v>95</v>
      </c>
      <c r="J11" s="11"/>
      <c r="K11" s="11"/>
      <c r="L11" s="5"/>
      <c r="M11" s="4" t="str">
        <f t="shared" si="4"/>
        <v>PH21D</v>
      </c>
      <c r="N11" s="11">
        <v>0.0081</v>
      </c>
      <c r="O11" s="11">
        <v>2.7</v>
      </c>
      <c r="P11" s="15">
        <f t="shared" si="5"/>
        <v>0.02187</v>
      </c>
      <c r="Q11" s="17">
        <f t="shared" si="6"/>
        <v>0.7184421339459637</v>
      </c>
      <c r="R11" s="24" t="s">
        <v>30</v>
      </c>
      <c r="S11" s="18"/>
      <c r="T11" s="10"/>
      <c r="U11" s="5"/>
      <c r="V11" s="5"/>
      <c r="W11" s="5"/>
      <c r="X11" s="5"/>
      <c r="Y11" s="5"/>
      <c r="Z11" s="11"/>
      <c r="AA11" s="11"/>
      <c r="AB11" s="5"/>
      <c r="AC11" s="5"/>
      <c r="AD11" s="24"/>
      <c r="AE11" s="18"/>
    </row>
    <row r="12" spans="2:30" ht="12.75">
      <c r="B12" s="10" t="s">
        <v>181</v>
      </c>
      <c r="C12" s="11">
        <v>44610</v>
      </c>
      <c r="D12" s="11">
        <v>2260</v>
      </c>
      <c r="E12" s="5">
        <f t="shared" si="0"/>
        <v>42350</v>
      </c>
      <c r="F12" s="5">
        <f t="shared" si="1"/>
        <v>46870</v>
      </c>
      <c r="G12" s="5">
        <f t="shared" si="2"/>
        <v>40090</v>
      </c>
      <c r="H12" s="5">
        <f t="shared" si="3"/>
        <v>49130</v>
      </c>
      <c r="I12" s="24" t="s">
        <v>95</v>
      </c>
      <c r="J12" s="11"/>
      <c r="K12" s="11"/>
      <c r="L12" s="5"/>
      <c r="M12" s="4" t="str">
        <f t="shared" si="4"/>
        <v>PH32</v>
      </c>
      <c r="N12" s="11">
        <v>0.0039</v>
      </c>
      <c r="O12" s="11">
        <v>1.1</v>
      </c>
      <c r="P12" s="15">
        <f t="shared" si="5"/>
        <v>0.00429</v>
      </c>
      <c r="Q12" s="17">
        <f t="shared" si="6"/>
        <v>37.97621664378904</v>
      </c>
      <c r="R12" s="24" t="s">
        <v>29</v>
      </c>
      <c r="S12" s="18"/>
      <c r="T12" s="10" t="s">
        <v>0</v>
      </c>
      <c r="U12" s="11" t="s">
        <v>180</v>
      </c>
      <c r="V12" s="11">
        <v>39040</v>
      </c>
      <c r="W12" s="11">
        <v>1130</v>
      </c>
      <c r="X12" s="5">
        <f>$V13-($W13*2)</f>
        <v>34910</v>
      </c>
      <c r="Y12" s="5">
        <f>$V13+($W13*2)</f>
        <v>38870</v>
      </c>
      <c r="Z12" s="11" t="s">
        <v>95</v>
      </c>
      <c r="AA12" s="11" t="s">
        <v>4</v>
      </c>
      <c r="AB12" s="5">
        <f>V16-V12</f>
        <v>350</v>
      </c>
      <c r="AC12" s="17">
        <f>SQRT(SUMSQ(W16,W12))</f>
        <v>1633.7992532744042</v>
      </c>
      <c r="AD12" s="24" t="s">
        <v>94</v>
      </c>
    </row>
    <row r="13" spans="2:30" ht="12" customHeight="1">
      <c r="B13" s="10" t="s">
        <v>182</v>
      </c>
      <c r="C13" s="11">
        <v>39390</v>
      </c>
      <c r="D13" s="11">
        <v>1180</v>
      </c>
      <c r="E13" s="5">
        <f t="shared" si="0"/>
        <v>38210</v>
      </c>
      <c r="F13" s="5">
        <f t="shared" si="1"/>
        <v>40570</v>
      </c>
      <c r="G13" s="5">
        <f t="shared" si="2"/>
        <v>37030</v>
      </c>
      <c r="H13" s="5">
        <f t="shared" si="3"/>
        <v>41750</v>
      </c>
      <c r="I13" s="24" t="s">
        <v>95</v>
      </c>
      <c r="J13" s="11"/>
      <c r="K13" s="11"/>
      <c r="L13" s="5"/>
      <c r="M13" s="4" t="str">
        <f t="shared" si="4"/>
        <v>PH50</v>
      </c>
      <c r="N13" s="11">
        <v>0.0074</v>
      </c>
      <c r="O13" s="11">
        <v>3</v>
      </c>
      <c r="P13" s="15">
        <f t="shared" si="5"/>
        <v>0.0222</v>
      </c>
      <c r="Q13" s="17">
        <f t="shared" si="6"/>
        <v>0.6668782296262347</v>
      </c>
      <c r="R13" s="24" t="s">
        <v>30</v>
      </c>
      <c r="S13" s="18"/>
      <c r="T13" s="10"/>
      <c r="U13" s="11" t="s">
        <v>185</v>
      </c>
      <c r="V13" s="11">
        <v>36890</v>
      </c>
      <c r="W13" s="11">
        <v>990</v>
      </c>
      <c r="X13" s="5">
        <f>$V14-($W14*2)</f>
        <v>35500</v>
      </c>
      <c r="Y13" s="5">
        <f>$V14+($W14*2)</f>
        <v>40300</v>
      </c>
      <c r="Z13" s="11" t="s">
        <v>95</v>
      </c>
      <c r="AA13" s="11" t="s">
        <v>5</v>
      </c>
      <c r="AB13" s="5">
        <f>V16-V13</f>
        <v>2500</v>
      </c>
      <c r="AC13" s="17">
        <f>SQRT(SUMSQ(W16,W13))</f>
        <v>1540.2921800749364</v>
      </c>
      <c r="AD13" s="24" t="s">
        <v>94</v>
      </c>
    </row>
    <row r="14" spans="2:30" ht="12.75">
      <c r="B14" s="10" t="s">
        <v>183</v>
      </c>
      <c r="C14" s="11">
        <v>45850</v>
      </c>
      <c r="D14" s="11">
        <v>1320</v>
      </c>
      <c r="E14" s="5">
        <f t="shared" si="0"/>
        <v>44530</v>
      </c>
      <c r="F14" s="5">
        <f>C14+D14</f>
        <v>47170</v>
      </c>
      <c r="G14" s="5">
        <f t="shared" si="2"/>
        <v>43210</v>
      </c>
      <c r="H14" s="5">
        <f t="shared" si="3"/>
        <v>48490</v>
      </c>
      <c r="I14" s="24" t="s">
        <v>95</v>
      </c>
      <c r="J14" s="11"/>
      <c r="K14" s="11"/>
      <c r="L14" s="5"/>
      <c r="M14" s="4" t="str">
        <f>$B14</f>
        <v>PH75</v>
      </c>
      <c r="N14" s="11">
        <v>0.0033</v>
      </c>
      <c r="O14" s="11">
        <v>2.5</v>
      </c>
      <c r="P14" s="15">
        <f t="shared" si="5"/>
        <v>0.00825</v>
      </c>
      <c r="Q14" s="17">
        <f t="shared" si="6"/>
        <v>15.537052979368344</v>
      </c>
      <c r="R14" s="24" t="s">
        <v>29</v>
      </c>
      <c r="S14" s="18"/>
      <c r="T14" s="10"/>
      <c r="U14" s="11" t="s">
        <v>184</v>
      </c>
      <c r="V14" s="11">
        <v>37900</v>
      </c>
      <c r="W14" s="11">
        <v>1200</v>
      </c>
      <c r="X14" s="5">
        <f>$V15-($W15*2)</f>
        <v>36000</v>
      </c>
      <c r="Y14" s="5">
        <f>$V15+($W15*2)</f>
        <v>41200</v>
      </c>
      <c r="Z14" s="11" t="s">
        <v>95</v>
      </c>
      <c r="AA14" s="11" t="s">
        <v>6</v>
      </c>
      <c r="AB14" s="5">
        <f>V16-V14</f>
        <v>1490</v>
      </c>
      <c r="AC14" s="17">
        <f>SQRT(SUMSQ(W16,W14))</f>
        <v>1682.973558912914</v>
      </c>
      <c r="AD14" s="24" t="s">
        <v>94</v>
      </c>
    </row>
    <row r="15" spans="2:30" ht="12.75">
      <c r="B15" s="4"/>
      <c r="C15" s="5"/>
      <c r="D15" s="5"/>
      <c r="E15" s="5">
        <f t="shared" si="0"/>
        <v>0</v>
      </c>
      <c r="F15" s="5">
        <f>C15+D15</f>
        <v>0</v>
      </c>
      <c r="G15" s="5">
        <f t="shared" si="2"/>
        <v>0</v>
      </c>
      <c r="H15" s="5">
        <f t="shared" si="3"/>
        <v>0</v>
      </c>
      <c r="I15" s="24"/>
      <c r="J15" s="11"/>
      <c r="K15" s="11"/>
      <c r="L15" s="5"/>
      <c r="M15" s="4">
        <f>$B15</f>
        <v>0</v>
      </c>
      <c r="N15" s="5"/>
      <c r="O15" s="5"/>
      <c r="P15" s="15">
        <f t="shared" si="5"/>
        <v>0</v>
      </c>
      <c r="Q15" s="17">
        <f t="shared" si="6"/>
        <v>100</v>
      </c>
      <c r="R15" s="24"/>
      <c r="S15" s="18"/>
      <c r="T15" s="10"/>
      <c r="U15" s="11" t="s">
        <v>186</v>
      </c>
      <c r="V15" s="11">
        <v>38600</v>
      </c>
      <c r="W15" s="11">
        <v>1300</v>
      </c>
      <c r="X15" s="5">
        <f>$V12-($W12*2)</f>
        <v>36780</v>
      </c>
      <c r="Y15" s="5">
        <f>$V12+($W12*2)</f>
        <v>41300</v>
      </c>
      <c r="Z15" s="11" t="s">
        <v>95</v>
      </c>
      <c r="AA15" s="11" t="s">
        <v>7</v>
      </c>
      <c r="AB15" s="5">
        <f>V16-V15</f>
        <v>790</v>
      </c>
      <c r="AC15" s="17">
        <f>SQRT(SUMSQ(W15,W16))</f>
        <v>1755.6765077883797</v>
      </c>
      <c r="AD15" s="24" t="s">
        <v>94</v>
      </c>
    </row>
    <row r="16" spans="2:30" ht="13.5" thickBot="1">
      <c r="B16" s="12"/>
      <c r="C16" s="8"/>
      <c r="D16" s="8"/>
      <c r="E16" s="8">
        <f t="shared" si="0"/>
        <v>0</v>
      </c>
      <c r="F16" s="8">
        <f>C16+D16</f>
        <v>0</v>
      </c>
      <c r="G16" s="8">
        <f t="shared" si="2"/>
        <v>0</v>
      </c>
      <c r="H16" s="8">
        <f t="shared" si="3"/>
        <v>0</v>
      </c>
      <c r="I16" s="25"/>
      <c r="J16" s="11"/>
      <c r="K16" s="11"/>
      <c r="L16" s="5"/>
      <c r="M16" s="7">
        <f t="shared" si="4"/>
        <v>0</v>
      </c>
      <c r="N16" s="13"/>
      <c r="O16" s="13"/>
      <c r="P16" s="16">
        <f t="shared" si="5"/>
        <v>0</v>
      </c>
      <c r="Q16" s="22">
        <f t="shared" si="6"/>
        <v>100</v>
      </c>
      <c r="R16" s="25"/>
      <c r="S16" s="18"/>
      <c r="T16" s="10"/>
      <c r="U16" s="11" t="s">
        <v>182</v>
      </c>
      <c r="V16" s="11">
        <v>39390</v>
      </c>
      <c r="W16" s="11">
        <v>1180</v>
      </c>
      <c r="X16" s="5">
        <f>$V16-($W16*2)</f>
        <v>37030</v>
      </c>
      <c r="Y16" s="5">
        <f>$V16+($W16*2)</f>
        <v>41750</v>
      </c>
      <c r="Z16" s="11" t="s">
        <v>95</v>
      </c>
      <c r="AA16" s="11" t="s">
        <v>8</v>
      </c>
      <c r="AB16" s="5">
        <f>V12-V13</f>
        <v>2150</v>
      </c>
      <c r="AC16" s="17">
        <f>SQRT(SUMSQ(W12,W13))</f>
        <v>1502.3315213360866</v>
      </c>
      <c r="AD16" s="24" t="s">
        <v>94</v>
      </c>
    </row>
    <row r="17" spans="2:30" ht="12.75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1"/>
      <c r="Q17" s="11"/>
      <c r="R17" s="15"/>
      <c r="S17" s="5"/>
      <c r="T17" s="10"/>
      <c r="U17" s="11"/>
      <c r="V17" s="11"/>
      <c r="W17" s="11"/>
      <c r="X17" s="5"/>
      <c r="Y17" s="5"/>
      <c r="Z17" s="11"/>
      <c r="AA17" s="11" t="s">
        <v>9</v>
      </c>
      <c r="AB17" s="5">
        <f>V12-V14</f>
        <v>1140</v>
      </c>
      <c r="AC17" s="17">
        <f>SQRT(SUMSQ(W12,W14))</f>
        <v>1648.3021567661676</v>
      </c>
      <c r="AD17" s="24" t="s">
        <v>94</v>
      </c>
    </row>
    <row r="18" spans="2:30" ht="12.75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1"/>
      <c r="Q18" s="11"/>
      <c r="R18" s="15"/>
      <c r="S18" s="5"/>
      <c r="T18" s="10"/>
      <c r="U18" s="11"/>
      <c r="V18" s="11"/>
      <c r="W18" s="11"/>
      <c r="X18" s="5"/>
      <c r="Y18" s="5"/>
      <c r="Z18" s="11"/>
      <c r="AA18" s="11" t="s">
        <v>10</v>
      </c>
      <c r="AB18" s="5">
        <f>V12-V15</f>
        <v>440</v>
      </c>
      <c r="AC18" s="17">
        <f>SQRT(SUMSQ(W12,W15))</f>
        <v>1722.4691579241703</v>
      </c>
      <c r="AD18" s="24" t="s">
        <v>94</v>
      </c>
    </row>
    <row r="19" spans="20:30" ht="12.75">
      <c r="T19" s="10"/>
      <c r="U19" s="5"/>
      <c r="V19" s="5"/>
      <c r="W19" s="5"/>
      <c r="X19" s="5"/>
      <c r="Y19" s="5"/>
      <c r="Z19" s="11"/>
      <c r="AA19" s="11"/>
      <c r="AB19" s="5"/>
      <c r="AC19" s="17"/>
      <c r="AD19" s="24"/>
    </row>
    <row r="20" spans="20:30" ht="12.75">
      <c r="T20" s="10" t="s">
        <v>187</v>
      </c>
      <c r="U20" s="11" t="s">
        <v>181</v>
      </c>
      <c r="V20" s="11">
        <v>44610</v>
      </c>
      <c r="W20" s="11">
        <v>2260</v>
      </c>
      <c r="X20" s="5">
        <f>$V20-($W20*2)</f>
        <v>40090</v>
      </c>
      <c r="Y20" s="5">
        <f>$V20+($W20*2)</f>
        <v>49130</v>
      </c>
      <c r="Z20" s="11" t="s">
        <v>95</v>
      </c>
      <c r="AA20" s="11" t="s">
        <v>11</v>
      </c>
      <c r="AB20" s="5">
        <f>V21-V20</f>
        <v>1240</v>
      </c>
      <c r="AC20" s="17">
        <f>SQRT(SUMSQ(W21,W20))</f>
        <v>2617.2504656604806</v>
      </c>
      <c r="AD20" s="24" t="s">
        <v>94</v>
      </c>
    </row>
    <row r="21" spans="20:30" ht="12.75">
      <c r="T21" s="10"/>
      <c r="U21" s="11" t="s">
        <v>183</v>
      </c>
      <c r="V21" s="11">
        <v>45850</v>
      </c>
      <c r="W21" s="11">
        <v>1320</v>
      </c>
      <c r="X21" s="5">
        <f>$V21-($W21*2)</f>
        <v>43210</v>
      </c>
      <c r="Y21" s="5">
        <f>$V21+($W21*2)</f>
        <v>48490</v>
      </c>
      <c r="Z21" s="11" t="s">
        <v>95</v>
      </c>
      <c r="AA21" s="11"/>
      <c r="AB21" s="5"/>
      <c r="AC21" s="17"/>
      <c r="AD21" s="24"/>
    </row>
    <row r="22" spans="20:30" ht="12.75">
      <c r="T22" s="10"/>
      <c r="U22" s="5"/>
      <c r="V22" s="5"/>
      <c r="W22" s="5"/>
      <c r="X22" s="5"/>
      <c r="Y22" s="5"/>
      <c r="Z22" s="11"/>
      <c r="AA22" s="11"/>
      <c r="AB22" s="5"/>
      <c r="AC22" s="17"/>
      <c r="AD22" s="24"/>
    </row>
    <row r="23" spans="20:30" ht="12.75">
      <c r="T23" s="10"/>
      <c r="U23" s="11"/>
      <c r="V23" s="11"/>
      <c r="W23" s="11"/>
      <c r="X23" s="5"/>
      <c r="Y23" s="5"/>
      <c r="Z23" s="11"/>
      <c r="AA23" s="11"/>
      <c r="AB23" s="5"/>
      <c r="AC23" s="17"/>
      <c r="AD23" s="24"/>
    </row>
    <row r="24" spans="20:30" ht="12.75">
      <c r="T24" s="10" t="s">
        <v>1</v>
      </c>
      <c r="U24" s="11"/>
      <c r="V24" s="11"/>
      <c r="W24" s="11"/>
      <c r="X24" s="5"/>
      <c r="Y24" s="5"/>
      <c r="Z24" s="11"/>
      <c r="AA24" s="11" t="s">
        <v>12</v>
      </c>
      <c r="AB24" s="5">
        <f>V21-V12</f>
        <v>6810</v>
      </c>
      <c r="AC24" s="17">
        <f>SQRT(SUMSQ(W21,W12))</f>
        <v>1737.6133056580802</v>
      </c>
      <c r="AD24" s="24" t="s">
        <v>126</v>
      </c>
    </row>
    <row r="25" spans="20:30" ht="12.75">
      <c r="T25" s="10"/>
      <c r="U25" s="11"/>
      <c r="V25" s="11"/>
      <c r="W25" s="11"/>
      <c r="X25" s="5"/>
      <c r="Y25" s="5"/>
      <c r="Z25" s="11"/>
      <c r="AA25" s="11" t="s">
        <v>13</v>
      </c>
      <c r="AB25" s="5">
        <f>W21-W13</f>
        <v>330</v>
      </c>
      <c r="AC25" s="17">
        <f>SQRT(SUMSQ(W21,W13))</f>
        <v>1650</v>
      </c>
      <c r="AD25" s="24" t="s">
        <v>94</v>
      </c>
    </row>
    <row r="26" spans="20:30" ht="12.75">
      <c r="T26" s="4"/>
      <c r="U26" s="11"/>
      <c r="V26" s="11"/>
      <c r="W26" s="11"/>
      <c r="X26" s="5"/>
      <c r="Y26" s="5"/>
      <c r="Z26" s="11"/>
      <c r="AA26" s="11" t="s">
        <v>14</v>
      </c>
      <c r="AB26" s="5">
        <f>V21-V14</f>
        <v>7950</v>
      </c>
      <c r="AC26" s="17">
        <f>SQRT(SUMSQ(W14,W21))</f>
        <v>1783.9282496782207</v>
      </c>
      <c r="AD26" s="24" t="s">
        <v>126</v>
      </c>
    </row>
    <row r="27" spans="20:30" ht="12.75">
      <c r="T27" s="10"/>
      <c r="U27" s="11"/>
      <c r="V27" s="11"/>
      <c r="W27" s="11"/>
      <c r="X27" s="5"/>
      <c r="Y27" s="5"/>
      <c r="Z27" s="11"/>
      <c r="AA27" s="11" t="s">
        <v>15</v>
      </c>
      <c r="AB27" s="5">
        <f>V21-V15</f>
        <v>7250</v>
      </c>
      <c r="AC27" s="17">
        <f>SQRT(SUMSQ(W15,W21))</f>
        <v>1852.6737435393206</v>
      </c>
      <c r="AD27" s="24" t="s">
        <v>126</v>
      </c>
    </row>
    <row r="28" spans="20:30" ht="12.75">
      <c r="T28" s="10"/>
      <c r="U28" s="11"/>
      <c r="V28" s="11"/>
      <c r="W28" s="11"/>
      <c r="X28" s="5"/>
      <c r="Y28" s="5"/>
      <c r="Z28" s="11"/>
      <c r="AA28" s="11" t="s">
        <v>16</v>
      </c>
      <c r="AB28" s="5">
        <f>V21-V16</f>
        <v>6460</v>
      </c>
      <c r="AC28" s="17">
        <f>SQRT(SUMSQ(W21,W16))</f>
        <v>1770.5366418123067</v>
      </c>
      <c r="AD28" s="24" t="s">
        <v>126</v>
      </c>
    </row>
    <row r="29" spans="20:30" ht="12.75">
      <c r="T29" s="10"/>
      <c r="U29" s="11"/>
      <c r="V29" s="11"/>
      <c r="W29" s="11"/>
      <c r="X29" s="5"/>
      <c r="Y29" s="5"/>
      <c r="Z29" s="11"/>
      <c r="AA29" s="11" t="s">
        <v>17</v>
      </c>
      <c r="AB29" s="5">
        <f>V20-V12</f>
        <v>5570</v>
      </c>
      <c r="AC29" s="17">
        <f>SQRT(SUMSQ(W12,W20))</f>
        <v>2526.7568145747628</v>
      </c>
      <c r="AD29" s="24" t="s">
        <v>127</v>
      </c>
    </row>
    <row r="30" spans="20:30" ht="12.75">
      <c r="T30" s="10"/>
      <c r="U30" s="11"/>
      <c r="V30" s="11"/>
      <c r="W30" s="11"/>
      <c r="X30" s="5"/>
      <c r="Y30" s="5"/>
      <c r="Z30" s="11"/>
      <c r="AA30" s="11" t="s">
        <v>18</v>
      </c>
      <c r="AB30" s="5">
        <f>V20-V13</f>
        <v>7720</v>
      </c>
      <c r="AC30" s="17">
        <f>SQRT(SUMSQ(W13,W20))</f>
        <v>2467.3264883269912</v>
      </c>
      <c r="AD30" s="24" t="s">
        <v>126</v>
      </c>
    </row>
    <row r="31" spans="20:30" ht="12.75">
      <c r="T31" s="4"/>
      <c r="U31" s="5"/>
      <c r="V31" s="11"/>
      <c r="W31" s="5"/>
      <c r="X31" s="5"/>
      <c r="Y31" s="5"/>
      <c r="Z31" s="5"/>
      <c r="AA31" s="11" t="s">
        <v>22</v>
      </c>
      <c r="AB31" s="5">
        <f>V20-V14</f>
        <v>6710</v>
      </c>
      <c r="AC31" s="17">
        <f>SQRT(SUMSQ(W14,W20))</f>
        <v>2558.8278566562467</v>
      </c>
      <c r="AD31" s="6" t="s">
        <v>127</v>
      </c>
    </row>
    <row r="32" spans="20:30" ht="12.75">
      <c r="T32" s="4"/>
      <c r="U32" s="5"/>
      <c r="V32" s="11"/>
      <c r="W32" s="5"/>
      <c r="X32" s="5"/>
      <c r="Y32" s="5"/>
      <c r="Z32" s="5"/>
      <c r="AA32" s="11" t="s">
        <v>19</v>
      </c>
      <c r="AB32" s="5">
        <f>V20-V15</f>
        <v>6010</v>
      </c>
      <c r="AC32" s="17">
        <f>SQRT(SUMSQ(W15,W20))</f>
        <v>2607.2207424765556</v>
      </c>
      <c r="AD32" s="6" t="s">
        <v>127</v>
      </c>
    </row>
    <row r="33" spans="20:30" ht="12.75">
      <c r="T33" s="4"/>
      <c r="U33" s="5"/>
      <c r="V33" s="11"/>
      <c r="W33" s="5"/>
      <c r="X33" s="5"/>
      <c r="Y33" s="5"/>
      <c r="Z33" s="5"/>
      <c r="AA33" s="11" t="s">
        <v>20</v>
      </c>
      <c r="AB33" s="5">
        <f>V20-V16</f>
        <v>5220</v>
      </c>
      <c r="AC33" s="17">
        <f>SQRT(SUMSQ(W16,W20))</f>
        <v>2549.5097567963926</v>
      </c>
      <c r="AD33" s="6" t="s">
        <v>127</v>
      </c>
    </row>
    <row r="34" spans="20:32" ht="12.75">
      <c r="T34" s="4"/>
      <c r="U34" s="5"/>
      <c r="V34" s="11"/>
      <c r="W34" s="5"/>
      <c r="X34" s="5"/>
      <c r="Y34" s="5"/>
      <c r="Z34" s="5"/>
      <c r="AA34" s="5"/>
      <c r="AB34" s="5"/>
      <c r="AC34" s="11"/>
      <c r="AD34" s="6"/>
      <c r="AE34" s="5"/>
      <c r="AF34" s="5"/>
    </row>
    <row r="35" spans="20:32" ht="13.5" thickBot="1">
      <c r="T35" s="7"/>
      <c r="U35" s="8"/>
      <c r="V35" s="8"/>
      <c r="W35" s="8"/>
      <c r="X35" s="8"/>
      <c r="Y35" s="8"/>
      <c r="Z35" s="8"/>
      <c r="AA35" s="8"/>
      <c r="AB35" s="8"/>
      <c r="AC35" s="13"/>
      <c r="AD35" s="9"/>
      <c r="AE35" s="5"/>
      <c r="AF35" s="5"/>
    </row>
  </sheetData>
  <printOptions/>
  <pageMargins left="0.75" right="0.75" top="1" bottom="1" header="0.5" footer="0.5"/>
  <pageSetup fitToWidth="3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35"/>
  <sheetViews>
    <sheetView workbookViewId="0" topLeftCell="A1">
      <selection activeCell="J1" sqref="J1:J16384"/>
    </sheetView>
  </sheetViews>
  <sheetFormatPr defaultColWidth="11.00390625" defaultRowHeight="12"/>
  <cols>
    <col min="2" max="2" width="15.875" style="0" customWidth="1"/>
    <col min="5" max="6" width="12.125" style="0" customWidth="1"/>
    <col min="7" max="8" width="12.375" style="0" customWidth="1"/>
    <col min="9" max="9" width="16.00390625" style="0" bestFit="1" customWidth="1"/>
    <col min="10" max="11" width="16.00390625" style="0" customWidth="1"/>
    <col min="12" max="12" width="12.375" style="0" customWidth="1"/>
    <col min="13" max="13" width="22.375" style="0" bestFit="1" customWidth="1"/>
    <col min="14" max="14" width="22.375" style="0" customWidth="1"/>
    <col min="15" max="15" width="15.625" style="0" customWidth="1"/>
    <col min="16" max="16" width="18.375" style="0" bestFit="1" customWidth="1"/>
    <col min="17" max="17" width="17.625" style="0" bestFit="1" customWidth="1"/>
    <col min="18" max="18" width="30.50390625" style="0" bestFit="1" customWidth="1"/>
    <col min="19" max="19" width="45.00390625" style="0" bestFit="1" customWidth="1"/>
    <col min="20" max="20" width="15.375" style="0" bestFit="1" customWidth="1"/>
    <col min="22" max="22" width="26.625" style="0" customWidth="1"/>
    <col min="23" max="23" width="17.125" style="0" customWidth="1"/>
    <col min="28" max="28" width="14.00390625" style="0" bestFit="1" customWidth="1"/>
    <col min="29" max="29" width="10.625" style="0" bestFit="1" customWidth="1"/>
    <col min="30" max="30" width="53.875" style="0" customWidth="1"/>
    <col min="32" max="32" width="42.875" style="0" customWidth="1"/>
  </cols>
  <sheetData>
    <row r="1" ht="13.5" thickBot="1"/>
    <row r="2" spans="2:30" ht="12.75">
      <c r="B2" s="1" t="s">
        <v>84</v>
      </c>
      <c r="C2" s="2"/>
      <c r="D2" s="2"/>
      <c r="E2" s="2"/>
      <c r="F2" s="2"/>
      <c r="G2" s="2"/>
      <c r="H2" s="2"/>
      <c r="I2" s="3"/>
      <c r="J2" s="5"/>
      <c r="K2" s="5"/>
      <c r="L2" s="5"/>
      <c r="M2" s="14" t="s">
        <v>96</v>
      </c>
      <c r="N2" s="2"/>
      <c r="O2" s="2"/>
      <c r="P2" s="2"/>
      <c r="Q2" s="2"/>
      <c r="R2" s="3"/>
      <c r="S2" s="5"/>
      <c r="T2" s="14" t="s">
        <v>101</v>
      </c>
      <c r="U2" s="2"/>
      <c r="V2" s="2"/>
      <c r="W2" s="2"/>
      <c r="X2" s="2"/>
      <c r="Y2" s="2"/>
      <c r="Z2" s="2" t="s">
        <v>123</v>
      </c>
      <c r="AA2" s="2"/>
      <c r="AB2" s="2"/>
      <c r="AC2" s="2"/>
      <c r="AD2" s="3"/>
    </row>
    <row r="3" spans="2:30" ht="12.75">
      <c r="B3" s="4" t="s">
        <v>93</v>
      </c>
      <c r="C3" s="5"/>
      <c r="D3" s="5"/>
      <c r="E3" s="5"/>
      <c r="F3" s="5"/>
      <c r="G3" s="5"/>
      <c r="H3" s="5"/>
      <c r="I3" s="6"/>
      <c r="J3" s="5"/>
      <c r="K3" s="5"/>
      <c r="L3" s="5"/>
      <c r="M3" s="4" t="s">
        <v>97</v>
      </c>
      <c r="N3" s="5"/>
      <c r="O3" s="5"/>
      <c r="P3" s="5"/>
      <c r="Q3" s="5"/>
      <c r="R3" s="6"/>
      <c r="S3" s="5"/>
      <c r="T3" s="4" t="s">
        <v>119</v>
      </c>
      <c r="U3" s="5" t="s">
        <v>107</v>
      </c>
      <c r="V3" s="5"/>
      <c r="W3" s="5"/>
      <c r="X3" s="5"/>
      <c r="Y3" s="5"/>
      <c r="Z3" s="5" t="s">
        <v>124</v>
      </c>
      <c r="AA3" s="5"/>
      <c r="AB3" s="5"/>
      <c r="AC3" s="5"/>
      <c r="AD3" s="6"/>
    </row>
    <row r="4" spans="2:30" ht="12.75"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4" t="s">
        <v>179</v>
      </c>
      <c r="N4" s="5"/>
      <c r="O4" s="5"/>
      <c r="P4" s="5"/>
      <c r="Q4" s="5"/>
      <c r="R4" s="6"/>
      <c r="S4" s="5"/>
      <c r="T4" s="4"/>
      <c r="U4" s="5" t="s">
        <v>103</v>
      </c>
      <c r="V4" s="5"/>
      <c r="W4" s="5"/>
      <c r="X4" s="5"/>
      <c r="Y4" s="5"/>
      <c r="Z4" s="5" t="s">
        <v>125</v>
      </c>
      <c r="AA4" s="5"/>
      <c r="AB4" s="5"/>
      <c r="AC4" s="5"/>
      <c r="AD4" s="6"/>
    </row>
    <row r="5" spans="2:30" ht="12.75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4"/>
      <c r="N5" s="5"/>
      <c r="O5" s="5"/>
      <c r="P5" s="5"/>
      <c r="Q5" s="5"/>
      <c r="R5" s="6"/>
      <c r="S5" s="5"/>
      <c r="T5" s="4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12.75">
      <c r="B6" s="4" t="s">
        <v>82</v>
      </c>
      <c r="C6" s="5" t="s">
        <v>78</v>
      </c>
      <c r="D6" s="5" t="s">
        <v>79</v>
      </c>
      <c r="E6" s="5" t="s">
        <v>80</v>
      </c>
      <c r="F6" s="5"/>
      <c r="G6" s="5" t="s">
        <v>81</v>
      </c>
      <c r="H6" s="5"/>
      <c r="I6" s="6" t="s">
        <v>102</v>
      </c>
      <c r="J6" s="5"/>
      <c r="K6" s="5"/>
      <c r="L6" s="5"/>
      <c r="M6" s="4" t="s">
        <v>82</v>
      </c>
      <c r="N6" s="5" t="s">
        <v>98</v>
      </c>
      <c r="O6" s="5" t="s">
        <v>99</v>
      </c>
      <c r="P6" s="5" t="s">
        <v>100</v>
      </c>
      <c r="Q6" s="5" t="s">
        <v>120</v>
      </c>
      <c r="R6" s="6" t="s">
        <v>28</v>
      </c>
      <c r="T6" s="4" t="s">
        <v>104</v>
      </c>
      <c r="U6" s="5" t="s">
        <v>105</v>
      </c>
      <c r="V6" s="5" t="s">
        <v>78</v>
      </c>
      <c r="W6" s="5" t="s">
        <v>106</v>
      </c>
      <c r="X6" s="5" t="s">
        <v>81</v>
      </c>
      <c r="Y6" s="5"/>
      <c r="Z6" s="5" t="s">
        <v>111</v>
      </c>
      <c r="AA6" s="5" t="s">
        <v>114</v>
      </c>
      <c r="AB6" s="5" t="s">
        <v>122</v>
      </c>
      <c r="AC6" s="5" t="s">
        <v>109</v>
      </c>
      <c r="AD6" s="6" t="s">
        <v>118</v>
      </c>
    </row>
    <row r="7" spans="2:30" ht="12.75">
      <c r="B7" s="4"/>
      <c r="C7" s="5"/>
      <c r="D7" s="5"/>
      <c r="E7" s="5"/>
      <c r="F7" s="5"/>
      <c r="G7" s="5"/>
      <c r="H7" s="5"/>
      <c r="I7" s="6"/>
      <c r="J7" s="5"/>
      <c r="K7" s="5"/>
      <c r="L7" s="5"/>
      <c r="M7" s="4"/>
      <c r="N7" s="5"/>
      <c r="O7" s="5"/>
      <c r="P7" s="5"/>
      <c r="Q7" s="5" t="s">
        <v>21</v>
      </c>
      <c r="R7" s="6"/>
      <c r="T7" s="4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1" ht="12.75">
      <c r="B8" s="10" t="s">
        <v>25</v>
      </c>
      <c r="C8" s="11">
        <v>10260</v>
      </c>
      <c r="D8" s="11">
        <v>40</v>
      </c>
      <c r="E8" s="5">
        <f aca="true" t="shared" si="0" ref="E8:E16">$C8-$D8</f>
        <v>10220</v>
      </c>
      <c r="F8" s="5">
        <f aca="true" t="shared" si="1" ref="F8:F16">C8+D8</f>
        <v>10300</v>
      </c>
      <c r="G8" s="5">
        <f aca="true" t="shared" si="2" ref="G8:G16">$C8-($D8*2)</f>
        <v>10180</v>
      </c>
      <c r="H8" s="5">
        <f aca="true" t="shared" si="3" ref="H8:H16">$C8+($D8*2)</f>
        <v>10340</v>
      </c>
      <c r="I8" s="24" t="s">
        <v>94</v>
      </c>
      <c r="J8" s="11"/>
      <c r="K8" s="11"/>
      <c r="L8" s="5"/>
      <c r="M8" s="4" t="str">
        <f aca="true" t="shared" si="4" ref="M8:M16">$B8</f>
        <v>ST20</v>
      </c>
      <c r="N8" s="11">
        <v>0.2786</v>
      </c>
      <c r="O8" s="11" t="s">
        <v>137</v>
      </c>
      <c r="P8" s="15" t="e">
        <f aca="true" t="shared" si="5" ref="P8:P16">$N8*$O8</f>
        <v>#VALUE!</v>
      </c>
      <c r="Q8" s="17" t="e">
        <f>(EXP(-225.69*($P8)))*100</f>
        <v>#VALUE!</v>
      </c>
      <c r="R8" s="24"/>
      <c r="S8" s="18"/>
      <c r="T8" s="10" t="s">
        <v>110</v>
      </c>
      <c r="U8" s="11" t="s">
        <v>41</v>
      </c>
      <c r="V8" s="11">
        <v>10335</v>
      </c>
      <c r="W8" s="11">
        <v>92</v>
      </c>
      <c r="X8" s="5">
        <f>$V8-($W8*2)</f>
        <v>10151</v>
      </c>
      <c r="Y8" s="5">
        <f>$V8+($W8*2)</f>
        <v>10519</v>
      </c>
      <c r="Z8" s="11" t="s">
        <v>95</v>
      </c>
      <c r="AA8" s="11" t="s">
        <v>2</v>
      </c>
      <c r="AB8" s="5">
        <f>V10-V8</f>
        <v>153</v>
      </c>
      <c r="AC8" s="17">
        <f>SQRT(SUMSQ(W10,W8))</f>
        <v>121.91800523302537</v>
      </c>
      <c r="AD8" s="24" t="s">
        <v>94</v>
      </c>
      <c r="AE8" s="18"/>
    </row>
    <row r="9" spans="2:31" ht="12.75">
      <c r="B9" s="10" t="s">
        <v>26</v>
      </c>
      <c r="C9" s="11">
        <v>5147</v>
      </c>
      <c r="D9" s="11">
        <v>44</v>
      </c>
      <c r="E9" s="5">
        <f>$C10-$D10</f>
        <v>10000</v>
      </c>
      <c r="F9" s="5">
        <f>C10+D10</f>
        <v>10080</v>
      </c>
      <c r="G9" s="5">
        <f>$C10-($D10*2)</f>
        <v>9960</v>
      </c>
      <c r="H9" s="5">
        <f>$C10+($D10*2)</f>
        <v>10120</v>
      </c>
      <c r="I9" s="24" t="s">
        <v>94</v>
      </c>
      <c r="J9" s="11"/>
      <c r="K9" s="11"/>
      <c r="L9" s="5"/>
      <c r="M9" s="4" t="str">
        <f t="shared" si="4"/>
        <v>ST37</v>
      </c>
      <c r="N9" s="11">
        <v>0.527</v>
      </c>
      <c r="O9" s="11" t="s">
        <v>137</v>
      </c>
      <c r="P9" s="15" t="e">
        <f t="shared" si="5"/>
        <v>#VALUE!</v>
      </c>
      <c r="Q9" s="17" t="e">
        <f aca="true" t="shared" si="6" ref="Q9:Q16">(EXP(-225.69*($P9)))*100</f>
        <v>#VALUE!</v>
      </c>
      <c r="R9" s="24"/>
      <c r="S9" s="18"/>
      <c r="T9" s="10"/>
      <c r="U9" s="11" t="s">
        <v>42</v>
      </c>
      <c r="V9" s="11">
        <v>10263</v>
      </c>
      <c r="W9" s="11">
        <v>94</v>
      </c>
      <c r="X9" s="5">
        <f>$V9-($W9*2)</f>
        <v>10075</v>
      </c>
      <c r="Y9" s="5">
        <f>$V9+($W9*2)</f>
        <v>10451</v>
      </c>
      <c r="Z9" s="11" t="s">
        <v>156</v>
      </c>
      <c r="AA9" s="11" t="s">
        <v>3</v>
      </c>
      <c r="AB9" s="5">
        <f>V10-V9</f>
        <v>225</v>
      </c>
      <c r="AC9" s="17">
        <f>SQRT(SUMSQ(W10,W9))</f>
        <v>123.4341929936758</v>
      </c>
      <c r="AD9" s="24" t="s">
        <v>94</v>
      </c>
      <c r="AE9" s="18"/>
    </row>
    <row r="10" spans="2:31" ht="12.75">
      <c r="B10" s="10" t="s">
        <v>27</v>
      </c>
      <c r="C10" s="11">
        <v>10040</v>
      </c>
      <c r="D10" s="11">
        <v>40</v>
      </c>
      <c r="E10" s="5">
        <f>$C11-$D11</f>
        <v>3950</v>
      </c>
      <c r="F10" s="5">
        <f>C11+D11</f>
        <v>4010</v>
      </c>
      <c r="G10" s="5">
        <f>$C11-($D11*2)</f>
        <v>3920</v>
      </c>
      <c r="H10" s="5">
        <f>$C11+($D11*2)</f>
        <v>4040</v>
      </c>
      <c r="I10" s="24" t="s">
        <v>94</v>
      </c>
      <c r="J10" s="11"/>
      <c r="K10" s="11"/>
      <c r="L10" s="5"/>
      <c r="M10" s="4" t="str">
        <f t="shared" si="4"/>
        <v>ST64</v>
      </c>
      <c r="N10" s="11">
        <v>0.2867</v>
      </c>
      <c r="O10" s="11" t="s">
        <v>137</v>
      </c>
      <c r="P10" s="15" t="e">
        <f t="shared" si="5"/>
        <v>#VALUE!</v>
      </c>
      <c r="Q10" s="17" t="e">
        <f t="shared" si="6"/>
        <v>#VALUE!</v>
      </c>
      <c r="R10" s="24"/>
      <c r="S10" s="18"/>
      <c r="T10" s="10"/>
      <c r="U10" s="11" t="s">
        <v>43</v>
      </c>
      <c r="V10" s="11">
        <v>10488</v>
      </c>
      <c r="W10" s="11">
        <v>80</v>
      </c>
      <c r="X10" s="5">
        <f>$V10-($W10*2)</f>
        <v>10328</v>
      </c>
      <c r="Y10" s="5">
        <f>$V10+($W10*2)</f>
        <v>10648</v>
      </c>
      <c r="Z10" s="11" t="s">
        <v>95</v>
      </c>
      <c r="AA10" s="11" t="s">
        <v>51</v>
      </c>
      <c r="AB10" s="5">
        <f>V8-V9</f>
        <v>72</v>
      </c>
      <c r="AC10" s="17">
        <f>SQRT(SUMSQ(W8,W10))</f>
        <v>121.91800523302537</v>
      </c>
      <c r="AD10" s="24" t="s">
        <v>94</v>
      </c>
      <c r="AE10" s="18"/>
    </row>
    <row r="11" spans="2:31" ht="12.75">
      <c r="B11" s="10" t="s">
        <v>39</v>
      </c>
      <c r="C11" s="11">
        <v>3980</v>
      </c>
      <c r="D11" s="11">
        <v>30</v>
      </c>
      <c r="E11" s="5">
        <f>$C12-$D12</f>
        <v>9750</v>
      </c>
      <c r="F11" s="5">
        <f>C12+D12</f>
        <v>9900</v>
      </c>
      <c r="G11" s="5">
        <f>$C12-($D12*2)</f>
        <v>9675</v>
      </c>
      <c r="H11" s="5">
        <f>$C12+($D12*2)</f>
        <v>9975</v>
      </c>
      <c r="I11" s="24" t="s">
        <v>94</v>
      </c>
      <c r="J11" s="11"/>
      <c r="K11" s="11"/>
      <c r="L11" s="5"/>
      <c r="M11" s="4" t="str">
        <f t="shared" si="4"/>
        <v>ST72</v>
      </c>
      <c r="N11" s="11">
        <v>0.6093</v>
      </c>
      <c r="O11" s="11" t="s">
        <v>137</v>
      </c>
      <c r="P11" s="15" t="e">
        <f t="shared" si="5"/>
        <v>#VALUE!</v>
      </c>
      <c r="Q11" s="17" t="e">
        <f t="shared" si="6"/>
        <v>#VALUE!</v>
      </c>
      <c r="R11" s="24"/>
      <c r="S11" s="18"/>
      <c r="T11" s="10"/>
      <c r="U11" s="5"/>
      <c r="V11" s="5"/>
      <c r="W11" s="5"/>
      <c r="X11" s="5"/>
      <c r="Y11" s="5"/>
      <c r="Z11" s="11"/>
      <c r="AA11" s="11"/>
      <c r="AB11" s="5"/>
      <c r="AC11" s="5"/>
      <c r="AD11" s="24"/>
      <c r="AE11" s="18"/>
    </row>
    <row r="12" spans="2:30" ht="12.75">
      <c r="B12" s="10" t="s">
        <v>40</v>
      </c>
      <c r="C12" s="11">
        <v>9825</v>
      </c>
      <c r="D12" s="11">
        <v>75</v>
      </c>
      <c r="E12" s="5">
        <f t="shared" si="0"/>
        <v>9750</v>
      </c>
      <c r="F12" s="5">
        <f t="shared" si="1"/>
        <v>9900</v>
      </c>
      <c r="G12" s="5">
        <f t="shared" si="2"/>
        <v>9675</v>
      </c>
      <c r="H12" s="5">
        <f t="shared" si="3"/>
        <v>9975</v>
      </c>
      <c r="I12" s="24" t="s">
        <v>94</v>
      </c>
      <c r="J12" s="11"/>
      <c r="K12" s="11"/>
      <c r="L12" s="5"/>
      <c r="M12" s="4" t="str">
        <f t="shared" si="4"/>
        <v>ST87</v>
      </c>
      <c r="N12" s="11">
        <v>0.2943</v>
      </c>
      <c r="O12" s="11" t="s">
        <v>137</v>
      </c>
      <c r="P12" s="15" t="e">
        <f t="shared" si="5"/>
        <v>#VALUE!</v>
      </c>
      <c r="Q12" s="17" t="e">
        <f t="shared" si="6"/>
        <v>#VALUE!</v>
      </c>
      <c r="R12" s="24"/>
      <c r="S12" s="18"/>
      <c r="T12" s="10" t="s">
        <v>44</v>
      </c>
      <c r="U12" s="11" t="s">
        <v>25</v>
      </c>
      <c r="V12" s="11">
        <v>10260</v>
      </c>
      <c r="W12" s="11">
        <v>40</v>
      </c>
      <c r="X12" s="5">
        <f aca="true" t="shared" si="7" ref="X12:X18">$V12-($W12*2)</f>
        <v>10180</v>
      </c>
      <c r="Y12" s="5">
        <f aca="true" t="shared" si="8" ref="Y12:Y18">$V12+($W12*2)</f>
        <v>10340</v>
      </c>
      <c r="Z12" s="11" t="s">
        <v>47</v>
      </c>
      <c r="AA12" s="11" t="s">
        <v>52</v>
      </c>
      <c r="AB12" s="5">
        <f>V18-V12</f>
        <v>228</v>
      </c>
      <c r="AC12" s="17">
        <f>SQRT(SUMSQ(W18,W12))</f>
        <v>89.44271909999159</v>
      </c>
      <c r="AD12" s="24" t="s">
        <v>127</v>
      </c>
    </row>
    <row r="13" spans="2:30" ht="12" customHeight="1">
      <c r="B13" s="10" t="s">
        <v>41</v>
      </c>
      <c r="C13" s="11">
        <v>10335</v>
      </c>
      <c r="D13" s="11">
        <v>92</v>
      </c>
      <c r="E13" s="5">
        <f t="shared" si="0"/>
        <v>10243</v>
      </c>
      <c r="F13" s="5">
        <f t="shared" si="1"/>
        <v>10427</v>
      </c>
      <c r="G13" s="5">
        <f t="shared" si="2"/>
        <v>10151</v>
      </c>
      <c r="H13" s="5">
        <f t="shared" si="3"/>
        <v>10519</v>
      </c>
      <c r="I13" s="24" t="s">
        <v>94</v>
      </c>
      <c r="J13" s="11"/>
      <c r="K13" s="11"/>
      <c r="L13" s="5"/>
      <c r="M13" s="4" t="str">
        <f t="shared" si="4"/>
        <v>ST99B</v>
      </c>
      <c r="N13" s="11">
        <v>0.2762</v>
      </c>
      <c r="O13" s="11" t="s">
        <v>137</v>
      </c>
      <c r="P13" s="15" t="e">
        <f t="shared" si="5"/>
        <v>#VALUE!</v>
      </c>
      <c r="Q13" s="17" t="e">
        <f t="shared" si="6"/>
        <v>#VALUE!</v>
      </c>
      <c r="R13" s="24"/>
      <c r="S13" s="18"/>
      <c r="T13" s="10"/>
      <c r="U13" s="11" t="s">
        <v>27</v>
      </c>
      <c r="V13" s="11">
        <v>10040</v>
      </c>
      <c r="W13" s="11">
        <v>40</v>
      </c>
      <c r="X13" s="5">
        <f t="shared" si="7"/>
        <v>9960</v>
      </c>
      <c r="Y13" s="5">
        <f t="shared" si="8"/>
        <v>10120</v>
      </c>
      <c r="Z13" s="11" t="s">
        <v>46</v>
      </c>
      <c r="AA13" s="11" t="s">
        <v>53</v>
      </c>
      <c r="AB13" s="5">
        <f>V18-V13</f>
        <v>448</v>
      </c>
      <c r="AC13" s="17">
        <f>SQRT(SUMSQ(W18,W13))</f>
        <v>89.44271909999159</v>
      </c>
      <c r="AD13" s="24" t="s">
        <v>126</v>
      </c>
    </row>
    <row r="14" spans="2:30" ht="12.75">
      <c r="B14" s="10" t="s">
        <v>42</v>
      </c>
      <c r="C14" s="11">
        <v>10263</v>
      </c>
      <c r="D14" s="11">
        <v>94</v>
      </c>
      <c r="E14" s="5">
        <f t="shared" si="0"/>
        <v>10169</v>
      </c>
      <c r="F14" s="5">
        <f t="shared" si="1"/>
        <v>10357</v>
      </c>
      <c r="G14" s="5">
        <f t="shared" si="2"/>
        <v>10075</v>
      </c>
      <c r="H14" s="5">
        <f t="shared" si="3"/>
        <v>10451</v>
      </c>
      <c r="I14" s="24" t="s">
        <v>94</v>
      </c>
      <c r="J14" s="11"/>
      <c r="K14" s="11"/>
      <c r="L14" s="5"/>
      <c r="M14" s="4" t="str">
        <f t="shared" si="4"/>
        <v>ST99C</v>
      </c>
      <c r="N14" s="11">
        <v>0.2787</v>
      </c>
      <c r="O14" s="11" t="s">
        <v>137</v>
      </c>
      <c r="P14" s="15" t="e">
        <f t="shared" si="5"/>
        <v>#VALUE!</v>
      </c>
      <c r="Q14" s="17" t="e">
        <f t="shared" si="6"/>
        <v>#VALUE!</v>
      </c>
      <c r="R14" s="24"/>
      <c r="S14" s="18"/>
      <c r="T14" s="10"/>
      <c r="U14" s="11" t="s">
        <v>39</v>
      </c>
      <c r="V14" s="11">
        <v>3980</v>
      </c>
      <c r="W14" s="11">
        <v>30</v>
      </c>
      <c r="X14" s="5">
        <f t="shared" si="7"/>
        <v>3920</v>
      </c>
      <c r="Y14" s="5">
        <f t="shared" si="8"/>
        <v>4040</v>
      </c>
      <c r="Z14" s="11" t="s">
        <v>94</v>
      </c>
      <c r="AA14" s="11" t="s">
        <v>54</v>
      </c>
      <c r="AB14" s="5">
        <f>V18-V15</f>
        <v>663</v>
      </c>
      <c r="AC14" s="17">
        <f>SQRT(SUMSQ(W18,W15))</f>
        <v>109.65856099730655</v>
      </c>
      <c r="AD14" s="24" t="s">
        <v>126</v>
      </c>
    </row>
    <row r="15" spans="2:30" ht="12.75">
      <c r="B15" s="10" t="s">
        <v>43</v>
      </c>
      <c r="C15" s="11">
        <v>10488</v>
      </c>
      <c r="D15" s="11">
        <v>80</v>
      </c>
      <c r="E15" s="5">
        <f t="shared" si="0"/>
        <v>10408</v>
      </c>
      <c r="F15" s="5">
        <f t="shared" si="1"/>
        <v>10568</v>
      </c>
      <c r="G15" s="5">
        <f t="shared" si="2"/>
        <v>10328</v>
      </c>
      <c r="H15" s="5">
        <f t="shared" si="3"/>
        <v>10648</v>
      </c>
      <c r="I15" s="24" t="s">
        <v>94</v>
      </c>
      <c r="J15" s="11"/>
      <c r="K15" s="11"/>
      <c r="L15" s="5"/>
      <c r="M15" s="4" t="str">
        <f t="shared" si="4"/>
        <v>ST99D</v>
      </c>
      <c r="N15" s="11">
        <v>0.271</v>
      </c>
      <c r="O15" s="11" t="s">
        <v>137</v>
      </c>
      <c r="P15" s="15" t="e">
        <f t="shared" si="5"/>
        <v>#VALUE!</v>
      </c>
      <c r="Q15" s="17" t="e">
        <f t="shared" si="6"/>
        <v>#VALUE!</v>
      </c>
      <c r="R15" s="24"/>
      <c r="S15" s="18"/>
      <c r="T15" s="10"/>
      <c r="U15" s="11" t="s">
        <v>40</v>
      </c>
      <c r="V15" s="11">
        <v>9825</v>
      </c>
      <c r="W15" s="11">
        <v>75</v>
      </c>
      <c r="X15" s="5">
        <f t="shared" si="7"/>
        <v>9675</v>
      </c>
      <c r="Y15" s="5">
        <f t="shared" si="8"/>
        <v>9975</v>
      </c>
      <c r="Z15" s="11" t="s">
        <v>48</v>
      </c>
      <c r="AA15" s="11" t="s">
        <v>55</v>
      </c>
      <c r="AB15" s="5">
        <f>V18-V14</f>
        <v>6508</v>
      </c>
      <c r="AC15" s="17">
        <f>SQRT(SUMSQ(W18,W14))</f>
        <v>85.44003745317532</v>
      </c>
      <c r="AD15" s="24" t="s">
        <v>126</v>
      </c>
    </row>
    <row r="16" spans="2:30" ht="13.5" thickBot="1">
      <c r="B16" s="12"/>
      <c r="C16" s="13"/>
      <c r="D16" s="13"/>
      <c r="E16" s="8">
        <f t="shared" si="0"/>
        <v>0</v>
      </c>
      <c r="F16" s="8">
        <f t="shared" si="1"/>
        <v>0</v>
      </c>
      <c r="G16" s="8">
        <f t="shared" si="2"/>
        <v>0</v>
      </c>
      <c r="H16" s="8">
        <f t="shared" si="3"/>
        <v>0</v>
      </c>
      <c r="I16" s="25"/>
      <c r="J16" s="11"/>
      <c r="K16" s="11"/>
      <c r="L16" s="5"/>
      <c r="M16" s="7">
        <f t="shared" si="4"/>
        <v>0</v>
      </c>
      <c r="N16" s="13"/>
      <c r="O16" s="13"/>
      <c r="P16" s="16">
        <f t="shared" si="5"/>
        <v>0</v>
      </c>
      <c r="Q16" s="22">
        <f t="shared" si="6"/>
        <v>100</v>
      </c>
      <c r="R16" s="25"/>
      <c r="S16" s="18"/>
      <c r="T16" s="10"/>
      <c r="U16" s="11" t="s">
        <v>41</v>
      </c>
      <c r="V16" s="11">
        <v>10335</v>
      </c>
      <c r="W16" s="11">
        <v>92</v>
      </c>
      <c r="X16" s="5">
        <f t="shared" si="7"/>
        <v>10151</v>
      </c>
      <c r="Y16" s="5">
        <f t="shared" si="8"/>
        <v>10519</v>
      </c>
      <c r="Z16" s="11" t="s">
        <v>49</v>
      </c>
      <c r="AA16" s="11" t="s">
        <v>56</v>
      </c>
      <c r="AB16" s="5">
        <f>V16-V12</f>
        <v>75</v>
      </c>
      <c r="AC16" s="17">
        <f>SQRT(SUMSQ(W12,W16))</f>
        <v>100.31948963187563</v>
      </c>
      <c r="AD16" s="24" t="s">
        <v>94</v>
      </c>
    </row>
    <row r="17" spans="2:30" ht="12.75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1"/>
      <c r="Q17" s="11"/>
      <c r="R17" s="15"/>
      <c r="S17" s="5"/>
      <c r="T17" s="10"/>
      <c r="U17" s="11" t="s">
        <v>42</v>
      </c>
      <c r="V17" s="11">
        <v>10263</v>
      </c>
      <c r="W17" s="11">
        <v>94</v>
      </c>
      <c r="X17" s="5">
        <f t="shared" si="7"/>
        <v>10075</v>
      </c>
      <c r="Y17" s="5">
        <f t="shared" si="8"/>
        <v>10451</v>
      </c>
      <c r="Z17" s="11" t="s">
        <v>50</v>
      </c>
      <c r="AA17" s="11" t="s">
        <v>57</v>
      </c>
      <c r="AB17" s="5">
        <f>V16-V13</f>
        <v>295</v>
      </c>
      <c r="AC17" s="17">
        <f>SQRT(SUMSQ(W16,W13))</f>
        <v>100.31948963187563</v>
      </c>
      <c r="AD17" s="24" t="s">
        <v>127</v>
      </c>
    </row>
    <row r="18" spans="2:30" ht="12.75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1"/>
      <c r="Q18" s="11"/>
      <c r="R18" s="15"/>
      <c r="S18" s="5"/>
      <c r="T18" s="10"/>
      <c r="U18" s="11" t="s">
        <v>43</v>
      </c>
      <c r="V18" s="11">
        <v>10488</v>
      </c>
      <c r="W18" s="11">
        <v>80</v>
      </c>
      <c r="X18" s="5">
        <f t="shared" si="7"/>
        <v>10328</v>
      </c>
      <c r="Y18" s="5">
        <f t="shared" si="8"/>
        <v>10648</v>
      </c>
      <c r="Z18" s="11" t="s">
        <v>49</v>
      </c>
      <c r="AA18" s="11" t="s">
        <v>58</v>
      </c>
      <c r="AB18" s="5">
        <f>V16-V15</f>
        <v>510</v>
      </c>
      <c r="AC18" s="17">
        <f>SQRT(SUMSQ(W16,W15))</f>
        <v>118.69709347747316</v>
      </c>
      <c r="AD18" s="24" t="s">
        <v>126</v>
      </c>
    </row>
    <row r="19" spans="20:30" ht="12.75">
      <c r="T19" s="10"/>
      <c r="U19" s="5"/>
      <c r="V19" s="5"/>
      <c r="W19" s="5"/>
      <c r="X19" s="5"/>
      <c r="Y19" s="5"/>
      <c r="Z19" s="11"/>
      <c r="AA19" s="11" t="s">
        <v>59</v>
      </c>
      <c r="AB19" s="5">
        <f>V16-V14</f>
        <v>6355</v>
      </c>
      <c r="AC19" s="17">
        <f>SQRT(SUMSQ(W16,W14))</f>
        <v>96.76776322722357</v>
      </c>
      <c r="AD19" s="24" t="s">
        <v>126</v>
      </c>
    </row>
    <row r="20" spans="20:30" ht="12.75">
      <c r="T20" s="10"/>
      <c r="U20" s="11"/>
      <c r="V20" s="11"/>
      <c r="W20" s="11"/>
      <c r="X20" s="5"/>
      <c r="Y20" s="5"/>
      <c r="Z20" s="11"/>
      <c r="AA20" s="11" t="s">
        <v>60</v>
      </c>
      <c r="AB20" s="5">
        <f>V12-V13</f>
        <v>220</v>
      </c>
      <c r="AC20" s="17">
        <f>SQRT(SUMSQ(W12,W13))</f>
        <v>56.568542494923804</v>
      </c>
      <c r="AD20" s="24" t="s">
        <v>126</v>
      </c>
    </row>
    <row r="21" spans="20:30" ht="12.75">
      <c r="T21" s="10"/>
      <c r="U21" s="11"/>
      <c r="V21" s="11"/>
      <c r="W21" s="11"/>
      <c r="X21" s="5"/>
      <c r="Y21" s="5"/>
      <c r="Z21" s="11"/>
      <c r="AA21" s="11" t="s">
        <v>61</v>
      </c>
      <c r="AB21" s="5">
        <f>V12-V15</f>
        <v>435</v>
      </c>
      <c r="AC21" s="17">
        <f>SQRT(SUMSQ(W12,W15))</f>
        <v>85</v>
      </c>
      <c r="AD21" s="24" t="s">
        <v>126</v>
      </c>
    </row>
    <row r="22" spans="20:30" ht="12.75">
      <c r="T22" s="4"/>
      <c r="U22" s="5"/>
      <c r="V22" s="5"/>
      <c r="W22" s="5"/>
      <c r="X22" s="5"/>
      <c r="Y22" s="5"/>
      <c r="Z22" s="11"/>
      <c r="AA22" s="11" t="s">
        <v>62</v>
      </c>
      <c r="AB22" s="5">
        <f>V12-V14</f>
        <v>6280</v>
      </c>
      <c r="AC22" s="17">
        <f>SQRT(SUMSQ(W12,W14))</f>
        <v>50</v>
      </c>
      <c r="AD22" s="24" t="s">
        <v>126</v>
      </c>
    </row>
    <row r="23" spans="20:30" ht="12.75">
      <c r="T23" s="10"/>
      <c r="U23" s="11"/>
      <c r="V23" s="11"/>
      <c r="W23" s="11"/>
      <c r="X23" s="5"/>
      <c r="Y23" s="5"/>
      <c r="Z23" s="11"/>
      <c r="AA23" s="11" t="s">
        <v>63</v>
      </c>
      <c r="AB23" s="5">
        <f>V13-V14</f>
        <v>6060</v>
      </c>
      <c r="AC23" s="17">
        <f>SQRT(SUMSQ(W14,W13))</f>
        <v>50</v>
      </c>
      <c r="AD23" s="24" t="s">
        <v>126</v>
      </c>
    </row>
    <row r="24" spans="20:30" ht="12.75">
      <c r="T24" s="4"/>
      <c r="U24" s="5"/>
      <c r="V24" s="5"/>
      <c r="W24" s="5"/>
      <c r="X24" s="5"/>
      <c r="Y24" s="5"/>
      <c r="Z24" s="11"/>
      <c r="AA24" s="11" t="s">
        <v>64</v>
      </c>
      <c r="AB24" s="5">
        <f>V13-V15</f>
        <v>215</v>
      </c>
      <c r="AC24" s="17">
        <f>SQRT(SUMSQ(W13,W15))</f>
        <v>85</v>
      </c>
      <c r="AD24" s="24" t="s">
        <v>127</v>
      </c>
    </row>
    <row r="25" spans="20:30" ht="12.75">
      <c r="T25" s="10"/>
      <c r="U25" s="11"/>
      <c r="V25" s="11"/>
      <c r="W25" s="11"/>
      <c r="X25" s="5"/>
      <c r="Y25" s="5"/>
      <c r="Z25" s="11"/>
      <c r="AA25" s="11"/>
      <c r="AB25" s="5"/>
      <c r="AC25" s="17"/>
      <c r="AD25" s="24"/>
    </row>
    <row r="26" spans="20:30" ht="12.75">
      <c r="T26" s="10" t="s">
        <v>45</v>
      </c>
      <c r="U26" s="11" t="s">
        <v>26</v>
      </c>
      <c r="V26" s="11">
        <v>5147</v>
      </c>
      <c r="W26" s="11">
        <v>44</v>
      </c>
      <c r="X26" s="5"/>
      <c r="Y26" s="5"/>
      <c r="Z26" s="11"/>
      <c r="AA26" s="11" t="s">
        <v>65</v>
      </c>
      <c r="AB26" s="5">
        <f>V12-V26</f>
        <v>5113</v>
      </c>
      <c r="AC26" s="17">
        <f>SQRT(SUMSQ(W12,W26))</f>
        <v>59.464274989274024</v>
      </c>
      <c r="AD26" s="24" t="s">
        <v>126</v>
      </c>
    </row>
    <row r="27" spans="20:30" ht="12.75">
      <c r="T27" s="10"/>
      <c r="U27" s="5"/>
      <c r="V27" s="5"/>
      <c r="W27" s="5"/>
      <c r="X27" s="5"/>
      <c r="Y27" s="5"/>
      <c r="Z27" s="11"/>
      <c r="AA27" s="11" t="s">
        <v>66</v>
      </c>
      <c r="AB27" s="5">
        <f>V13-V26</f>
        <v>4893</v>
      </c>
      <c r="AC27" s="17">
        <f>SQRT(SUMSQ(W13,W26))</f>
        <v>59.464274989274024</v>
      </c>
      <c r="AD27" s="24" t="s">
        <v>126</v>
      </c>
    </row>
    <row r="28" spans="20:30" ht="12.75">
      <c r="T28" s="10"/>
      <c r="U28" s="11"/>
      <c r="V28" s="11"/>
      <c r="W28" s="11"/>
      <c r="X28" s="5"/>
      <c r="Y28" s="5"/>
      <c r="Z28" s="11"/>
      <c r="AA28" s="11" t="s">
        <v>67</v>
      </c>
      <c r="AB28" s="5">
        <f>V26-V14</f>
        <v>1167</v>
      </c>
      <c r="AC28" s="17">
        <f>SQRT(SUMSQ(W26,W14))</f>
        <v>53.25410782277739</v>
      </c>
      <c r="AD28" s="24" t="s">
        <v>126</v>
      </c>
    </row>
    <row r="29" spans="20:30" ht="12.75">
      <c r="T29" s="10"/>
      <c r="U29" s="11"/>
      <c r="V29" s="11"/>
      <c r="W29" s="11"/>
      <c r="X29" s="5"/>
      <c r="Y29" s="5"/>
      <c r="Z29" s="11"/>
      <c r="AA29" s="11" t="s">
        <v>71</v>
      </c>
      <c r="AB29" s="5">
        <f>V15-V26</f>
        <v>4678</v>
      </c>
      <c r="AC29" s="17">
        <f>SQRT(SUMSQ(W26,W15))</f>
        <v>86.9540108333135</v>
      </c>
      <c r="AD29" s="24" t="s">
        <v>126</v>
      </c>
    </row>
    <row r="30" spans="20:30" ht="12.75">
      <c r="T30" s="10"/>
      <c r="U30" s="11"/>
      <c r="V30" s="11"/>
      <c r="W30" s="11"/>
      <c r="X30" s="5"/>
      <c r="Y30" s="5"/>
      <c r="Z30" s="11"/>
      <c r="AA30" s="11" t="s">
        <v>68</v>
      </c>
      <c r="AB30" s="5">
        <f>V16-V26</f>
        <v>5188</v>
      </c>
      <c r="AC30" s="17">
        <f>SQRT(SUMSQ(W26,W16))</f>
        <v>101.9803902718557</v>
      </c>
      <c r="AD30" s="24" t="s">
        <v>126</v>
      </c>
    </row>
    <row r="31" spans="20:30" ht="12.75">
      <c r="T31" s="4"/>
      <c r="U31" s="5"/>
      <c r="V31" s="11"/>
      <c r="W31" s="11"/>
      <c r="X31" s="11"/>
      <c r="Y31" s="11"/>
      <c r="Z31" s="5"/>
      <c r="AA31" s="11" t="s">
        <v>69</v>
      </c>
      <c r="AB31" s="5">
        <f>V17-V26</f>
        <v>5116</v>
      </c>
      <c r="AC31" s="17">
        <f>SQRT(SUMSQ(W26,W17))</f>
        <v>103.78824596263298</v>
      </c>
      <c r="AD31" s="24" t="s">
        <v>126</v>
      </c>
    </row>
    <row r="32" spans="20:30" ht="12.75">
      <c r="T32" s="4"/>
      <c r="U32" s="5"/>
      <c r="V32" s="11"/>
      <c r="W32" s="11"/>
      <c r="X32" s="11"/>
      <c r="Y32" s="11"/>
      <c r="Z32" s="5"/>
      <c r="AA32" s="11" t="s">
        <v>70</v>
      </c>
      <c r="AB32" s="5">
        <f>V18-V26</f>
        <v>5341</v>
      </c>
      <c r="AC32" s="17">
        <f>SQRT(SUMSQ(W26,W18))</f>
        <v>91.30169768410663</v>
      </c>
      <c r="AD32" s="24" t="s">
        <v>126</v>
      </c>
    </row>
    <row r="33" spans="20:32" ht="12.75">
      <c r="T33" s="4"/>
      <c r="U33" s="5"/>
      <c r="V33" s="11"/>
      <c r="W33" s="11"/>
      <c r="X33" s="11"/>
      <c r="Y33" s="11"/>
      <c r="Z33" s="5"/>
      <c r="AA33" s="5"/>
      <c r="AB33" s="5"/>
      <c r="AC33" s="11"/>
      <c r="AD33" s="6"/>
      <c r="AE33" s="5"/>
      <c r="AF33" s="11"/>
    </row>
    <row r="34" spans="20:32" ht="12.75">
      <c r="T34" s="4"/>
      <c r="U34" s="5"/>
      <c r="V34" s="11"/>
      <c r="W34" s="5"/>
      <c r="X34" s="5"/>
      <c r="Y34" s="5"/>
      <c r="Z34" s="5"/>
      <c r="AA34" s="5"/>
      <c r="AB34" s="5"/>
      <c r="AC34" s="11"/>
      <c r="AD34" s="6"/>
      <c r="AE34" s="5"/>
      <c r="AF34" s="11"/>
    </row>
    <row r="35" spans="20:32" ht="13.5" thickBot="1">
      <c r="T35" s="7"/>
      <c r="U35" s="8"/>
      <c r="V35" s="8"/>
      <c r="W35" s="8"/>
      <c r="X35" s="8"/>
      <c r="Y35" s="8"/>
      <c r="Z35" s="8"/>
      <c r="AA35" s="8"/>
      <c r="AB35" s="8"/>
      <c r="AC35" s="13"/>
      <c r="AD35" s="9"/>
      <c r="AE35" s="5"/>
      <c r="AF35" s="11"/>
    </row>
  </sheetData>
  <printOptions/>
  <pageMargins left="0.75" right="0.75" top="1" bottom="1" header="0.5" footer="0.5"/>
  <pageSetup fitToWidth="3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30"/>
  <sheetViews>
    <sheetView tabSelected="1" workbookViewId="0" topLeftCell="N1">
      <selection activeCell="Q19" sqref="Q19"/>
    </sheetView>
  </sheetViews>
  <sheetFormatPr defaultColWidth="11.00390625" defaultRowHeight="12"/>
  <cols>
    <col min="2" max="2" width="15.875" style="0" customWidth="1"/>
    <col min="5" max="6" width="12.125" style="0" customWidth="1"/>
    <col min="7" max="8" width="12.375" style="0" customWidth="1"/>
    <col min="9" max="9" width="16.00390625" style="0" bestFit="1" customWidth="1"/>
    <col min="10" max="11" width="16.00390625" style="0" customWidth="1"/>
    <col min="12" max="12" width="12.375" style="0" customWidth="1"/>
    <col min="13" max="13" width="22.375" style="0" bestFit="1" customWidth="1"/>
    <col min="14" max="14" width="18.375" style="0" bestFit="1" customWidth="1"/>
    <col min="15" max="15" width="17.625" style="0" bestFit="1" customWidth="1"/>
    <col min="16" max="16" width="15.625" style="0" customWidth="1"/>
    <col min="17" max="17" width="44.875" style="0" bestFit="1" customWidth="1"/>
    <col min="18" max="18" width="17.625" style="0" bestFit="1" customWidth="1"/>
    <col min="19" max="19" width="30.50390625" style="0" bestFit="1" customWidth="1"/>
    <col min="20" max="20" width="45.00390625" style="0" bestFit="1" customWidth="1"/>
    <col min="21" max="21" width="15.375" style="0" bestFit="1" customWidth="1"/>
    <col min="23" max="23" width="26.625" style="0" customWidth="1"/>
    <col min="24" max="24" width="17.125" style="0" customWidth="1"/>
    <col min="26" max="26" width="15.00390625" style="0" customWidth="1"/>
    <col min="28" max="28" width="17.50390625" style="0" bestFit="1" customWidth="1"/>
    <col min="29" max="29" width="14.00390625" style="0" bestFit="1" customWidth="1"/>
    <col min="30" max="30" width="53.125" style="0" customWidth="1"/>
    <col min="31" max="31" width="17.50390625" style="0" bestFit="1" customWidth="1"/>
    <col min="33" max="33" width="42.875" style="0" customWidth="1"/>
  </cols>
  <sheetData>
    <row r="1" ht="13.5" thickBot="1"/>
    <row r="2" spans="2:30" ht="12.75">
      <c r="B2" s="1" t="s">
        <v>84</v>
      </c>
      <c r="C2" s="2"/>
      <c r="D2" s="2"/>
      <c r="E2" s="2"/>
      <c r="F2" s="2"/>
      <c r="G2" s="2"/>
      <c r="H2" s="2"/>
      <c r="I2" s="3"/>
      <c r="J2" s="5"/>
      <c r="K2" s="5"/>
      <c r="L2" s="5"/>
      <c r="M2" s="14" t="s">
        <v>96</v>
      </c>
      <c r="N2" s="2"/>
      <c r="O2" s="2"/>
      <c r="P2" s="2"/>
      <c r="Q2" s="2"/>
      <c r="R2" s="3"/>
      <c r="S2" s="5"/>
      <c r="T2" s="14" t="s">
        <v>101</v>
      </c>
      <c r="U2" s="2"/>
      <c r="V2" s="2"/>
      <c r="W2" s="2"/>
      <c r="X2" s="2"/>
      <c r="Y2" s="2"/>
      <c r="Z2" s="2" t="s">
        <v>123</v>
      </c>
      <c r="AA2" s="2"/>
      <c r="AB2" s="2"/>
      <c r="AC2" s="2"/>
      <c r="AD2" s="3"/>
    </row>
    <row r="3" spans="2:30" ht="12.75">
      <c r="B3" s="4" t="s">
        <v>93</v>
      </c>
      <c r="C3" s="5"/>
      <c r="D3" s="5"/>
      <c r="E3" s="5"/>
      <c r="F3" s="5"/>
      <c r="G3" s="5"/>
      <c r="H3" s="5"/>
      <c r="I3" s="6"/>
      <c r="J3" s="5"/>
      <c r="K3" s="5"/>
      <c r="L3" s="5"/>
      <c r="M3" s="4" t="s">
        <v>97</v>
      </c>
      <c r="N3" s="5"/>
      <c r="O3" s="5"/>
      <c r="P3" s="5"/>
      <c r="Q3" s="5"/>
      <c r="R3" s="6"/>
      <c r="S3" s="5"/>
      <c r="T3" s="4" t="s">
        <v>119</v>
      </c>
      <c r="U3" s="5" t="s">
        <v>107</v>
      </c>
      <c r="V3" s="5"/>
      <c r="W3" s="5"/>
      <c r="X3" s="5"/>
      <c r="Y3" s="5"/>
      <c r="Z3" s="5" t="s">
        <v>124</v>
      </c>
      <c r="AA3" s="5"/>
      <c r="AB3" s="5"/>
      <c r="AC3" s="5"/>
      <c r="AD3" s="6"/>
    </row>
    <row r="4" spans="2:30" ht="12.75">
      <c r="B4" s="4"/>
      <c r="C4" s="5"/>
      <c r="D4" s="5"/>
      <c r="E4" s="5"/>
      <c r="F4" s="5"/>
      <c r="G4" s="5"/>
      <c r="H4" s="5"/>
      <c r="I4" s="6"/>
      <c r="J4" s="5"/>
      <c r="K4" s="5"/>
      <c r="L4" s="5"/>
      <c r="M4" s="4" t="s">
        <v>179</v>
      </c>
      <c r="N4" s="5"/>
      <c r="O4" s="5"/>
      <c r="P4" s="5"/>
      <c r="Q4" s="5"/>
      <c r="R4" s="6"/>
      <c r="S4" s="5"/>
      <c r="T4" s="4"/>
      <c r="U4" s="5" t="s">
        <v>103</v>
      </c>
      <c r="V4" s="5"/>
      <c r="W4" s="5"/>
      <c r="X4" s="5"/>
      <c r="Y4" s="5"/>
      <c r="Z4" s="5" t="s">
        <v>125</v>
      </c>
      <c r="AA4" s="5"/>
      <c r="AB4" s="5"/>
      <c r="AC4" s="5"/>
      <c r="AD4" s="6"/>
    </row>
    <row r="5" spans="2:30" ht="12.75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4"/>
      <c r="N5" s="5"/>
      <c r="O5" s="5"/>
      <c r="P5" s="5"/>
      <c r="Q5" s="5"/>
      <c r="R5" s="6"/>
      <c r="S5" s="5"/>
      <c r="T5" s="4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12.75">
      <c r="B6" s="4" t="s">
        <v>82</v>
      </c>
      <c r="C6" s="5" t="s">
        <v>78</v>
      </c>
      <c r="D6" s="5" t="s">
        <v>79</v>
      </c>
      <c r="E6" s="5" t="s">
        <v>80</v>
      </c>
      <c r="F6" s="5"/>
      <c r="G6" s="5" t="s">
        <v>81</v>
      </c>
      <c r="H6" s="5"/>
      <c r="I6" s="6" t="s">
        <v>102</v>
      </c>
      <c r="J6" s="5"/>
      <c r="K6" s="5"/>
      <c r="M6" s="4" t="s">
        <v>82</v>
      </c>
      <c r="N6" s="5" t="s">
        <v>98</v>
      </c>
      <c r="O6" s="5" t="s">
        <v>99</v>
      </c>
      <c r="P6" s="5" t="s">
        <v>100</v>
      </c>
      <c r="Q6" s="5" t="s">
        <v>120</v>
      </c>
      <c r="R6" s="6" t="s">
        <v>28</v>
      </c>
      <c r="T6" s="4" t="s">
        <v>104</v>
      </c>
      <c r="U6" s="5" t="s">
        <v>105</v>
      </c>
      <c r="V6" s="5" t="s">
        <v>78</v>
      </c>
      <c r="W6" s="5" t="s">
        <v>106</v>
      </c>
      <c r="X6" s="5" t="s">
        <v>81</v>
      </c>
      <c r="Y6" s="5"/>
      <c r="Z6" s="5" t="s">
        <v>111</v>
      </c>
      <c r="AA6" s="5" t="s">
        <v>114</v>
      </c>
      <c r="AB6" s="5" t="s">
        <v>108</v>
      </c>
      <c r="AC6" s="5" t="s">
        <v>109</v>
      </c>
      <c r="AD6" s="6" t="s">
        <v>118</v>
      </c>
    </row>
    <row r="7" spans="2:30" ht="12.75">
      <c r="B7" s="4"/>
      <c r="C7" s="5"/>
      <c r="D7" s="5"/>
      <c r="E7" s="5"/>
      <c r="F7" s="5"/>
      <c r="G7" s="5"/>
      <c r="H7" s="5"/>
      <c r="I7" s="6"/>
      <c r="J7" s="5"/>
      <c r="K7" s="5"/>
      <c r="M7" s="4"/>
      <c r="N7" s="5"/>
      <c r="O7" s="5"/>
      <c r="P7" s="5"/>
      <c r="Q7" s="5" t="s">
        <v>21</v>
      </c>
      <c r="R7" s="6"/>
      <c r="T7" s="4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0" ht="12.75">
      <c r="B8" s="10" t="s">
        <v>72</v>
      </c>
      <c r="C8" s="11">
        <v>37410</v>
      </c>
      <c r="D8" s="11">
        <v>600</v>
      </c>
      <c r="E8" s="5">
        <f aca="true" t="shared" si="0" ref="E8:E16">$C8-$D8</f>
        <v>36810</v>
      </c>
      <c r="F8" s="5">
        <f aca="true" t="shared" si="1" ref="F8:F16">C8+D8</f>
        <v>38010</v>
      </c>
      <c r="G8" s="5">
        <f aca="true" t="shared" si="2" ref="G8:G16">$C8-($D8*2)</f>
        <v>36210</v>
      </c>
      <c r="H8" s="5">
        <f aca="true" t="shared" si="3" ref="H8:H16">$C8+($D8*2)</f>
        <v>38610</v>
      </c>
      <c r="I8" s="24" t="s">
        <v>94</v>
      </c>
      <c r="J8" s="11"/>
      <c r="K8" s="11"/>
      <c r="M8" s="4" t="str">
        <f aca="true" t="shared" si="4" ref="M8:M16">$B8</f>
        <v>TF30</v>
      </c>
      <c r="N8" s="11">
        <v>0.0095</v>
      </c>
      <c r="O8" s="11">
        <v>1.6</v>
      </c>
      <c r="P8" s="15">
        <f aca="true" t="shared" si="5" ref="P8:P16">$N8*$O8</f>
        <v>0.0152</v>
      </c>
      <c r="Q8" s="27">
        <f>(EXP(-225.69*($P8)))*100</f>
        <v>3.237113980156045</v>
      </c>
      <c r="R8" s="24" t="s">
        <v>30</v>
      </c>
      <c r="T8" s="10" t="s">
        <v>76</v>
      </c>
      <c r="U8" s="11" t="s">
        <v>72</v>
      </c>
      <c r="V8" s="11">
        <v>37410</v>
      </c>
      <c r="W8" s="11">
        <v>600</v>
      </c>
      <c r="X8" s="5">
        <f>$V8-($W8*2)</f>
        <v>36210</v>
      </c>
      <c r="Y8" s="29">
        <f>$V8+($W8*2)</f>
        <v>38610</v>
      </c>
      <c r="Z8" s="11" t="s">
        <v>94</v>
      </c>
      <c r="AA8" s="11" t="s">
        <v>77</v>
      </c>
      <c r="AB8" s="5">
        <f>V8-V9</f>
        <v>3020</v>
      </c>
      <c r="AC8" s="26">
        <f>SQRT(SUMSQ(W9,W8))</f>
        <v>726.7048919609665</v>
      </c>
      <c r="AD8" s="24" t="s">
        <v>126</v>
      </c>
    </row>
    <row r="9" spans="2:30" ht="12.75">
      <c r="B9" s="10" t="s">
        <v>73</v>
      </c>
      <c r="C9" s="11">
        <v>34390</v>
      </c>
      <c r="D9" s="11">
        <v>410</v>
      </c>
      <c r="E9" s="5">
        <f t="shared" si="0"/>
        <v>33980</v>
      </c>
      <c r="F9" s="5">
        <f t="shared" si="1"/>
        <v>34800</v>
      </c>
      <c r="G9" s="5">
        <f t="shared" si="2"/>
        <v>33570</v>
      </c>
      <c r="H9" s="5">
        <f t="shared" si="3"/>
        <v>35210</v>
      </c>
      <c r="I9" s="24" t="s">
        <v>94</v>
      </c>
      <c r="J9" s="11"/>
      <c r="K9" s="11"/>
      <c r="M9" s="4" t="str">
        <f t="shared" si="4"/>
        <v>TF58</v>
      </c>
      <c r="N9" s="11">
        <v>0.0138</v>
      </c>
      <c r="O9" s="11">
        <v>1.4</v>
      </c>
      <c r="P9" s="15">
        <f t="shared" si="5"/>
        <v>0.019319999999999997</v>
      </c>
      <c r="Q9" s="27">
        <f aca="true" t="shared" si="6" ref="Q9:Q16">(EXP(-225.69*($P9)))*100</f>
        <v>1.2774161257985015</v>
      </c>
      <c r="R9" s="24" t="s">
        <v>30</v>
      </c>
      <c r="T9" s="10"/>
      <c r="U9" s="11" t="s">
        <v>73</v>
      </c>
      <c r="V9" s="11">
        <v>34390</v>
      </c>
      <c r="W9" s="11">
        <v>410</v>
      </c>
      <c r="X9" s="5">
        <f>$V9-($W9*2)</f>
        <v>33570</v>
      </c>
      <c r="Y9" s="29">
        <f>$V9+($W9*2)</f>
        <v>35210</v>
      </c>
      <c r="Z9" s="11" t="s">
        <v>94</v>
      </c>
      <c r="AA9" s="11"/>
      <c r="AB9" s="5"/>
      <c r="AC9" s="26"/>
      <c r="AD9" s="24"/>
    </row>
    <row r="10" spans="2:30" ht="12.75">
      <c r="B10" s="10"/>
      <c r="C10" s="11"/>
      <c r="D10" s="11"/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24"/>
      <c r="J10" s="11"/>
      <c r="K10" s="11"/>
      <c r="M10" s="4">
        <f t="shared" si="4"/>
        <v>0</v>
      </c>
      <c r="N10" s="11"/>
      <c r="O10" s="11"/>
      <c r="P10" s="15">
        <f t="shared" si="5"/>
        <v>0</v>
      </c>
      <c r="Q10" s="27">
        <f t="shared" si="6"/>
        <v>100</v>
      </c>
      <c r="R10" s="24"/>
      <c r="T10" s="10"/>
      <c r="U10" s="5"/>
      <c r="V10" s="5"/>
      <c r="W10" s="5"/>
      <c r="X10" s="5"/>
      <c r="Y10" s="11"/>
      <c r="Z10" s="11"/>
      <c r="AA10" s="11"/>
      <c r="AB10" s="5"/>
      <c r="AC10" s="11"/>
      <c r="AD10" s="24"/>
    </row>
    <row r="11" spans="2:30" ht="13.5" thickBot="1">
      <c r="B11" s="10"/>
      <c r="C11" s="11"/>
      <c r="D11" s="11"/>
      <c r="E11" s="5">
        <f t="shared" si="0"/>
        <v>0</v>
      </c>
      <c r="F11" s="5">
        <f t="shared" si="1"/>
        <v>0</v>
      </c>
      <c r="G11" s="5">
        <f t="shared" si="2"/>
        <v>0</v>
      </c>
      <c r="H11" s="5">
        <f t="shared" si="3"/>
        <v>0</v>
      </c>
      <c r="I11" s="24"/>
      <c r="J11" s="11"/>
      <c r="K11" s="11"/>
      <c r="M11" s="4">
        <f t="shared" si="4"/>
        <v>0</v>
      </c>
      <c r="N11" s="11"/>
      <c r="O11" s="11"/>
      <c r="P11" s="15">
        <f t="shared" si="5"/>
        <v>0</v>
      </c>
      <c r="Q11" s="27">
        <f t="shared" si="6"/>
        <v>100</v>
      </c>
      <c r="R11" s="24"/>
      <c r="T11" s="7"/>
      <c r="U11" s="8"/>
      <c r="V11" s="8"/>
      <c r="W11" s="8"/>
      <c r="X11" s="8"/>
      <c r="Y11" s="13"/>
      <c r="Z11" s="13"/>
      <c r="AA11" s="13"/>
      <c r="AB11" s="8"/>
      <c r="AC11" s="13"/>
      <c r="AD11" s="25"/>
    </row>
    <row r="12" spans="2:29" ht="12.75">
      <c r="B12" s="10"/>
      <c r="C12" s="11"/>
      <c r="D12" s="11"/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24"/>
      <c r="J12" s="11"/>
      <c r="K12" s="11"/>
      <c r="M12" s="4">
        <f t="shared" si="4"/>
        <v>0</v>
      </c>
      <c r="N12" s="11"/>
      <c r="O12" s="11"/>
      <c r="P12" s="15">
        <f t="shared" si="5"/>
        <v>0</v>
      </c>
      <c r="Q12" s="27">
        <f t="shared" si="6"/>
        <v>100</v>
      </c>
      <c r="R12" s="24"/>
      <c r="Y12" s="18"/>
      <c r="AC12" s="18"/>
    </row>
    <row r="13" spans="2:29" ht="12" customHeight="1">
      <c r="B13" s="10" t="s">
        <v>74</v>
      </c>
      <c r="C13" s="11" t="s">
        <v>75</v>
      </c>
      <c r="D13" s="11"/>
      <c r="E13" s="5" t="e">
        <f t="shared" si="0"/>
        <v>#VALUE!</v>
      </c>
      <c r="F13" s="5" t="e">
        <f t="shared" si="1"/>
        <v>#VALUE!</v>
      </c>
      <c r="G13" s="5" t="e">
        <f t="shared" si="2"/>
        <v>#VALUE!</v>
      </c>
      <c r="H13" s="5" t="e">
        <f t="shared" si="3"/>
        <v>#VALUE!</v>
      </c>
      <c r="I13" s="24"/>
      <c r="J13" s="11"/>
      <c r="K13" s="11"/>
      <c r="M13" s="4" t="str">
        <f t="shared" si="4"/>
        <v>MA13</v>
      </c>
      <c r="N13" s="11">
        <v>0.0012</v>
      </c>
      <c r="O13" s="11">
        <v>4</v>
      </c>
      <c r="P13" s="15">
        <f t="shared" si="5"/>
        <v>0.0048</v>
      </c>
      <c r="Q13" s="27">
        <f t="shared" si="6"/>
        <v>33.84726457794981</v>
      </c>
      <c r="R13" s="24" t="s">
        <v>29</v>
      </c>
      <c r="Y13" s="18"/>
      <c r="AC13" s="18"/>
    </row>
    <row r="14" spans="2:29" ht="12.75">
      <c r="B14" s="10"/>
      <c r="C14" s="11"/>
      <c r="D14" s="11"/>
      <c r="E14" s="5">
        <f t="shared" si="0"/>
        <v>0</v>
      </c>
      <c r="F14" s="5">
        <f t="shared" si="1"/>
        <v>0</v>
      </c>
      <c r="G14" s="5">
        <f t="shared" si="2"/>
        <v>0</v>
      </c>
      <c r="H14" s="5">
        <f t="shared" si="3"/>
        <v>0</v>
      </c>
      <c r="I14" s="24"/>
      <c r="J14" s="11"/>
      <c r="K14" s="11"/>
      <c r="M14" s="4">
        <f t="shared" si="4"/>
        <v>0</v>
      </c>
      <c r="N14" s="11"/>
      <c r="O14" s="11"/>
      <c r="P14" s="15">
        <f t="shared" si="5"/>
        <v>0</v>
      </c>
      <c r="Q14" s="27">
        <f t="shared" si="6"/>
        <v>100</v>
      </c>
      <c r="R14" s="24"/>
      <c r="Y14" s="18"/>
      <c r="AC14" s="18"/>
    </row>
    <row r="15" spans="2:29" ht="12.75">
      <c r="B15" s="4"/>
      <c r="C15" s="5"/>
      <c r="D15" s="5"/>
      <c r="E15" s="5">
        <f t="shared" si="0"/>
        <v>0</v>
      </c>
      <c r="F15" s="5">
        <f t="shared" si="1"/>
        <v>0</v>
      </c>
      <c r="G15" s="5">
        <f t="shared" si="2"/>
        <v>0</v>
      </c>
      <c r="H15" s="5">
        <f t="shared" si="3"/>
        <v>0</v>
      </c>
      <c r="I15" s="24"/>
      <c r="J15" s="11"/>
      <c r="K15" s="11"/>
      <c r="M15" s="4">
        <f t="shared" si="4"/>
        <v>0</v>
      </c>
      <c r="N15" s="5"/>
      <c r="O15" s="5"/>
      <c r="P15" s="15">
        <f t="shared" si="5"/>
        <v>0</v>
      </c>
      <c r="Q15" s="27">
        <f t="shared" si="6"/>
        <v>100</v>
      </c>
      <c r="R15" s="24"/>
      <c r="Y15" s="18"/>
      <c r="AC15" s="18"/>
    </row>
    <row r="16" spans="2:29" ht="13.5" thickBot="1">
      <c r="B16" s="12"/>
      <c r="C16" s="8"/>
      <c r="D16" s="8"/>
      <c r="E16" s="8">
        <f t="shared" si="0"/>
        <v>0</v>
      </c>
      <c r="F16" s="8">
        <f t="shared" si="1"/>
        <v>0</v>
      </c>
      <c r="G16" s="8">
        <f t="shared" si="2"/>
        <v>0</v>
      </c>
      <c r="H16" s="8">
        <f t="shared" si="3"/>
        <v>0</v>
      </c>
      <c r="I16" s="25"/>
      <c r="J16" s="11"/>
      <c r="K16" s="11"/>
      <c r="M16" s="7">
        <f t="shared" si="4"/>
        <v>0</v>
      </c>
      <c r="N16" s="13"/>
      <c r="O16" s="13"/>
      <c r="P16" s="16">
        <f t="shared" si="5"/>
        <v>0</v>
      </c>
      <c r="Q16" s="28">
        <f t="shared" si="6"/>
        <v>100</v>
      </c>
      <c r="R16" s="25"/>
      <c r="Y16" s="18"/>
      <c r="AC16" s="18"/>
    </row>
    <row r="17" spans="2:30" ht="12.75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11"/>
      <c r="R17" s="11"/>
      <c r="S17" s="15"/>
      <c r="Z17" s="18"/>
      <c r="AD17" s="18"/>
    </row>
    <row r="18" spans="2:30" ht="12.75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11"/>
      <c r="R18" s="11"/>
      <c r="S18" s="15"/>
      <c r="Z18" s="18"/>
      <c r="AD18" s="18"/>
    </row>
    <row r="19" spans="26:30" ht="12.75">
      <c r="Z19" s="18"/>
      <c r="AD19" s="18"/>
    </row>
    <row r="20" spans="26:30" ht="12.75">
      <c r="Z20" s="18"/>
      <c r="AD20" s="18"/>
    </row>
    <row r="21" spans="26:30" ht="12.75">
      <c r="Z21" s="18"/>
      <c r="AD21" s="18"/>
    </row>
    <row r="22" spans="26:30" ht="12.75">
      <c r="Z22" s="18"/>
      <c r="AD22" s="18"/>
    </row>
    <row r="23" spans="26:30" ht="12.75">
      <c r="Z23" s="18"/>
      <c r="AD23" s="18"/>
    </row>
    <row r="24" spans="26:30" ht="12.75">
      <c r="Z24" s="18"/>
      <c r="AD24" s="18"/>
    </row>
    <row r="25" spans="26:30" ht="12.75">
      <c r="Z25" s="18"/>
      <c r="AD25" s="18"/>
    </row>
    <row r="26" spans="26:30" ht="12.75">
      <c r="Z26" s="18"/>
      <c r="AD26" s="18"/>
    </row>
    <row r="27" spans="26:30" ht="12.75">
      <c r="Z27" s="18"/>
      <c r="AD27" s="18"/>
    </row>
    <row r="28" spans="26:30" ht="12.75">
      <c r="Z28" s="18"/>
      <c r="AD28" s="18"/>
    </row>
    <row r="29" spans="26:30" ht="12.75">
      <c r="Z29" s="18"/>
      <c r="AD29" s="18"/>
    </row>
    <row r="30" spans="26:30" ht="12.75">
      <c r="Z30" s="18"/>
      <c r="AD30" s="18"/>
    </row>
  </sheetData>
  <printOptions/>
  <pageMargins left="0.7480314960629921" right="0.7480314960629921" top="0.984251968503937" bottom="0.984251968503937" header="0.5118110236220472" footer="0.5118110236220472"/>
  <pageSetup fitToWidth="3" orientation="landscape" paperSize="9" scale="70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B5" sqref="B5"/>
    </sheetView>
  </sheetViews>
  <sheetFormatPr defaultColWidth="11.00390625" defaultRowHeight="12"/>
  <cols>
    <col min="2" max="2" width="23.375" style="0" customWidth="1"/>
    <col min="3" max="3" width="42.875" style="0" bestFit="1" customWidth="1"/>
    <col min="4" max="4" width="15.00390625" style="0" bestFit="1" customWidth="1"/>
    <col min="5" max="5" width="35.625" style="0" bestFit="1" customWidth="1"/>
    <col min="6" max="6" width="14.00390625" style="0" bestFit="1" customWidth="1"/>
  </cols>
  <sheetData>
    <row r="3" ht="12.75">
      <c r="B3" t="s">
        <v>33</v>
      </c>
    </row>
    <row r="4" ht="12.75">
      <c r="B4" t="s">
        <v>35</v>
      </c>
    </row>
    <row r="5" ht="12.75">
      <c r="B5" t="s">
        <v>121</v>
      </c>
    </row>
    <row r="7" spans="2:5" ht="12.75">
      <c r="B7" t="s">
        <v>36</v>
      </c>
      <c r="C7" t="s">
        <v>34</v>
      </c>
      <c r="D7" t="s">
        <v>23</v>
      </c>
      <c r="E7" t="s">
        <v>32</v>
      </c>
    </row>
    <row r="9" spans="2:5" ht="12.75">
      <c r="B9">
        <v>0.05</v>
      </c>
      <c r="C9">
        <v>1E-09</v>
      </c>
      <c r="D9">
        <v>0.05</v>
      </c>
      <c r="E9">
        <v>0</v>
      </c>
    </row>
    <row r="10" spans="2:4" ht="12.75">
      <c r="B10">
        <f>$B9-$B$24</f>
        <v>0.0450000001</v>
      </c>
      <c r="C10">
        <v>1E-05</v>
      </c>
      <c r="D10">
        <f>$B9-$B$24</f>
        <v>0.0450000001</v>
      </c>
    </row>
    <row r="11" spans="2:4" ht="12.75">
      <c r="B11">
        <f>B10-B24</f>
        <v>0.0400000002</v>
      </c>
      <c r="C11">
        <f aca="true" t="shared" si="0" ref="C11:C19">GROWTH($C$9+$C$10,$B$9+$B$10,D11,FALSE)</f>
        <v>0.007847929969031579</v>
      </c>
      <c r="D11" s="20">
        <f>B10-B24</f>
        <v>0.0400000002</v>
      </c>
    </row>
    <row r="12" spans="2:4" ht="12.75">
      <c r="B12">
        <f aca="true" t="shared" si="1" ref="B12:B18">$B11-$B$24</f>
        <v>0.03500000029999999</v>
      </c>
      <c r="C12">
        <f t="shared" si="0"/>
        <v>0.014385028362604222</v>
      </c>
      <c r="D12">
        <f aca="true" t="shared" si="2" ref="D12:D18">$B11-$B$24</f>
        <v>0.03500000029999999</v>
      </c>
    </row>
    <row r="13" spans="2:4" ht="12.75">
      <c r="B13">
        <f t="shared" si="1"/>
        <v>0.030000000399999994</v>
      </c>
      <c r="C13">
        <f t="shared" si="0"/>
        <v>0.026367340408169158</v>
      </c>
      <c r="D13">
        <f t="shared" si="2"/>
        <v>0.030000000399999994</v>
      </c>
    </row>
    <row r="14" spans="2:4" ht="12.75">
      <c r="B14">
        <f t="shared" si="1"/>
        <v>0.025000000499999994</v>
      </c>
      <c r="C14">
        <f t="shared" si="0"/>
        <v>0.04833057138821003</v>
      </c>
      <c r="D14">
        <f t="shared" si="2"/>
        <v>0.025000000499999994</v>
      </c>
    </row>
    <row r="15" spans="2:4" ht="12.75">
      <c r="B15">
        <f t="shared" si="1"/>
        <v>0.020000000599999995</v>
      </c>
      <c r="C15">
        <f t="shared" si="0"/>
        <v>0.08858853773462771</v>
      </c>
      <c r="D15">
        <f t="shared" si="2"/>
        <v>0.020000000599999995</v>
      </c>
    </row>
    <row r="16" spans="2:4" ht="12.75">
      <c r="B16">
        <f t="shared" si="1"/>
        <v>0.015000000699999995</v>
      </c>
      <c r="C16">
        <f t="shared" si="0"/>
        <v>0.1623802242047156</v>
      </c>
      <c r="D16">
        <f t="shared" si="2"/>
        <v>0.015000000699999995</v>
      </c>
    </row>
    <row r="17" spans="2:4" ht="12.75">
      <c r="B17">
        <f t="shared" si="1"/>
        <v>0.010000000799999995</v>
      </c>
      <c r="C17">
        <f t="shared" si="0"/>
        <v>0.29763824854812077</v>
      </c>
      <c r="D17">
        <f t="shared" si="2"/>
        <v>0.010000000799999995</v>
      </c>
    </row>
    <row r="18" spans="2:4" ht="12.75">
      <c r="B18">
        <f t="shared" si="1"/>
        <v>0.005000000899999995</v>
      </c>
      <c r="C18">
        <f t="shared" si="0"/>
        <v>0.545562290190632</v>
      </c>
      <c r="D18">
        <f t="shared" si="2"/>
        <v>0.005000000899999995</v>
      </c>
    </row>
    <row r="19" spans="2:5" ht="12.75">
      <c r="B19">
        <v>1E-09</v>
      </c>
      <c r="C19">
        <f t="shared" si="0"/>
        <v>0.999999878812371</v>
      </c>
      <c r="D19">
        <v>1E-09</v>
      </c>
      <c r="E19">
        <v>100</v>
      </c>
    </row>
    <row r="23" spans="1:2" ht="12.75">
      <c r="A23" t="s">
        <v>37</v>
      </c>
      <c r="B23">
        <f>B9-B19</f>
        <v>0.049999999</v>
      </c>
    </row>
    <row r="24" spans="1:2" ht="12.75">
      <c r="A24" t="s">
        <v>38</v>
      </c>
      <c r="B24" s="19">
        <f>B23/10</f>
        <v>0.0049999999000000005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P. L. Gibbard</dc:creator>
  <cp:keywords/>
  <dc:description/>
  <cp:lastModifiedBy>Dr P. L. Gibbard</cp:lastModifiedBy>
  <cp:lastPrinted>2001-06-26T09:26:07Z</cp:lastPrinted>
  <dcterms:created xsi:type="dcterms:W3CDTF">2001-06-18T16:00:43Z</dcterms:created>
  <cp:category/>
  <cp:version/>
  <cp:contentType/>
  <cp:contentStatus/>
</cp:coreProperties>
</file>